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<sst xmlns="http://schemas.openxmlformats.org/spreadsheetml/2006/main" count="553" uniqueCount="267">
  <si>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</si>
  <si>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</si>
  <si>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</si>
  <si>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</si>
  <si>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</si>
  <si>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</si>
  <si>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</si>
  <si>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</si>
  <si>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</si>
  <si>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</si>
  <si>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</si>
  <si>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</si>
  <si>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</si>
  <si>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</si>
  <si>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</si>
  <si>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</si>
  <si>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</si>
  <si>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</si>
  <si>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</si>
  <si>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</si>
  <si>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</si>
  <si>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</si>
  <si>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</si>
  <si>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</si>
  <si>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</si>
  <si>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</si>
  <si>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</si>
  <si>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</si>
  <si>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</si>
  <si>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</si>
  <si>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</si>
  <si>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</si>
  <si>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</si>
  <si>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</si>
  <si>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</si>
  <si>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</si>
  <si>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</si>
  <si>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</si>
  <si>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</si>
  <si>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</si>
  <si>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</si>
  <si>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</si>
  <si>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</si>
  <si>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</si>
  <si>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</si>
  <si>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</si>
  <si>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</si>
  <si>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</si>
  <si>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</si>
  <si>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Poznámka:</t>
  </si>
  <si>
    <t>Objekt</t>
  </si>
  <si>
    <t>Kód</t>
  </si>
  <si>
    <t>0</t>
  </si>
  <si>
    <t>003VD</t>
  </si>
  <si>
    <t>004VD</t>
  </si>
  <si>
    <t>113107630R00</t>
  </si>
  <si>
    <t>113107615R00</t>
  </si>
  <si>
    <t>113107202RA0</t>
  </si>
  <si>
    <t>113202111R00</t>
  </si>
  <si>
    <t>171201201R00</t>
  </si>
  <si>
    <t>181101102R00</t>
  </si>
  <si>
    <t>180402112R00</t>
  </si>
  <si>
    <t>00572400</t>
  </si>
  <si>
    <t>56</t>
  </si>
  <si>
    <t>564851111R00</t>
  </si>
  <si>
    <t>567211120R00</t>
  </si>
  <si>
    <t>57</t>
  </si>
  <si>
    <t>573211111R00</t>
  </si>
  <si>
    <t>577112113R00</t>
  </si>
  <si>
    <t>182301122R00</t>
  </si>
  <si>
    <t>59</t>
  </si>
  <si>
    <t>596215021R00</t>
  </si>
  <si>
    <t>59245308</t>
  </si>
  <si>
    <t>59245267</t>
  </si>
  <si>
    <t>596215040R00</t>
  </si>
  <si>
    <t>592451170</t>
  </si>
  <si>
    <t>59245264</t>
  </si>
  <si>
    <t>91</t>
  </si>
  <si>
    <t>917862111R00</t>
  </si>
  <si>
    <t>59217472</t>
  </si>
  <si>
    <t>59217480</t>
  </si>
  <si>
    <t>59217481</t>
  </si>
  <si>
    <t>59217469</t>
  </si>
  <si>
    <t>59217476</t>
  </si>
  <si>
    <t>919735111R00</t>
  </si>
  <si>
    <t>H22</t>
  </si>
  <si>
    <t>998222011R00</t>
  </si>
  <si>
    <t>998222095R00</t>
  </si>
  <si>
    <t>998223011R00</t>
  </si>
  <si>
    <t>998223095R00</t>
  </si>
  <si>
    <t>998224111R00</t>
  </si>
  <si>
    <t>998224195R00</t>
  </si>
  <si>
    <t>998225111R00</t>
  </si>
  <si>
    <t>998225195R00</t>
  </si>
  <si>
    <t>M46</t>
  </si>
  <si>
    <t>460010024RT3</t>
  </si>
  <si>
    <t>S</t>
  </si>
  <si>
    <t>979087213R00</t>
  </si>
  <si>
    <t>979084216R00</t>
  </si>
  <si>
    <t>979990113R00</t>
  </si>
  <si>
    <t>979990001R00</t>
  </si>
  <si>
    <t>979990104R00</t>
  </si>
  <si>
    <t>STÁVAJÍCÍ CHODNÍKY V OBCI OHAŘE</t>
  </si>
  <si>
    <t>4. Etapa</t>
  </si>
  <si>
    <t>Obec Ohaře</t>
  </si>
  <si>
    <t>Zkrácený popis</t>
  </si>
  <si>
    <t>Rozměry</t>
  </si>
  <si>
    <t>Všeobecné konstrukce a práce</t>
  </si>
  <si>
    <t>Geodetické zaměření stavby - skutečné provedení</t>
  </si>
  <si>
    <t>Dopravně inženýrské opatření během realizace stavby (projektová dokumentace+materiál-SDZ+vyřízení)</t>
  </si>
  <si>
    <t>Přípravné a přidružené práce</t>
  </si>
  <si>
    <t>Odstranění podkladu nad 50 m2,kam.drcené tl.30 cm</t>
  </si>
  <si>
    <t>Odstranění podkladu nad 50 m2,kam.drcené tl.15 cm</t>
  </si>
  <si>
    <t>Odstranění asfaltového krytu tl. 5 cm nad 50 m2</t>
  </si>
  <si>
    <t>Vytrhání obrubníků stojatých</t>
  </si>
  <si>
    <t>Konstrukce ze zemin</t>
  </si>
  <si>
    <t>Uložení sypaniny na skládce</t>
  </si>
  <si>
    <t>Povrchové úpravy terénu</t>
  </si>
  <si>
    <t>Úprava pláně v zářezech v hor. 1-4, se zhutněním</t>
  </si>
  <si>
    <t>Založení trávníku parkového výsevem svah do 1:2</t>
  </si>
  <si>
    <t>Směs travní parková I. běžná zátěž PROFI</t>
  </si>
  <si>
    <t>Podkladní vrstvy komunikací a zpevněných ploch</t>
  </si>
  <si>
    <t>Podklad ze štěrkodrti po zhutnění tloušťky 15 cm (chodník)</t>
  </si>
  <si>
    <t>Podklad z prostého betonu tř. I  tloušťky 20 cm</t>
  </si>
  <si>
    <t>Podklad ze štěrkodrti po zhutnění tloušťky 15 cm (vjezdy 2x)</t>
  </si>
  <si>
    <t>Kryty štěrkových a živičných pozemních komunikací a zpevněných ploch</t>
  </si>
  <si>
    <t>Postřik živičný spojovací z asfaltu 0,8 kg/m2</t>
  </si>
  <si>
    <t>Beton asfalt. ACO 11 S modifik. š. do 3 m, tl.4 cm</t>
  </si>
  <si>
    <t>Rozprostření ornice, tl. 10-15 cm, do 500 m2</t>
  </si>
  <si>
    <t>Dlažby a předlažby pozemních komunikací a zpevněných ploch</t>
  </si>
  <si>
    <t>Kladení zámkové dlažby tl. 6 cm do drtě tl. 4 cm (chodníky)</t>
  </si>
  <si>
    <t>Betonová dlažba přírodní  20x10x6 (chodníky)</t>
  </si>
  <si>
    <t>Betonová dlažba červená pro nevidomé 20x10x6 (chodníky)</t>
  </si>
  <si>
    <t>Kladení zámkové dlažby tl. 8 cm do drtě tl. 4 cm (vjezdy)</t>
  </si>
  <si>
    <t>Betonová dlažba 20x10x8 cm přírodní (vjezdy)</t>
  </si>
  <si>
    <t>Betonová dlažba červená pro nevidomé 20x10x8 (vjezdy)</t>
  </si>
  <si>
    <t>Doplňující konstrukce a práce na pozemních komunikacích a zpevněných plochách</t>
  </si>
  <si>
    <t>Osazení stojat. obrub.bet. s opěrou,lože z C 12/15</t>
  </si>
  <si>
    <t>Obrubník silniční 1000/150/250 šedý</t>
  </si>
  <si>
    <t>Obrubník silniční přechodový L 1000/150/150-250</t>
  </si>
  <si>
    <t>Obrubník silniční přechodový P 1000/150/150-250</t>
  </si>
  <si>
    <t>Obrubník zahradní  ABO 100/5/25</t>
  </si>
  <si>
    <t>Obrubník silniční nájezdový 1000/150/150 šedý</t>
  </si>
  <si>
    <t>Řezání stávajícího živičného krytu tl. do 5 cm</t>
  </si>
  <si>
    <t>Komunikace pozemní a letiště</t>
  </si>
  <si>
    <t>Přesun hmot, pozemní komunikace, kryt z kameniva</t>
  </si>
  <si>
    <t>Přesun hmot, komunikace z kameniva, dalších 5 km</t>
  </si>
  <si>
    <t>Přesun hmot, pozemní komunikace, kryt dlážděný</t>
  </si>
  <si>
    <t>Přesun hmot, komunik. dlážděné, přípl. dalších 5km</t>
  </si>
  <si>
    <t>Přesun hmot, pozemní komunikace, kryt betonový</t>
  </si>
  <si>
    <t>Přesun hmot, komunikace beton. přípl. dalších 5 km</t>
  </si>
  <si>
    <t>Přesun hmot, pozemní komunikace, kryt živičný</t>
  </si>
  <si>
    <t>Přesun hmot, komunik. živičné, přípl. dalších 5 km</t>
  </si>
  <si>
    <t>Zemní práce při montážích</t>
  </si>
  <si>
    <t>Vytýčení kabelové trasy v zastavěném prostoru - ČEZ a.s., Telefńica O2, veřejné osvětlení, vodovod</t>
  </si>
  <si>
    <t>Přesuny sutí</t>
  </si>
  <si>
    <t>Nakládání vybouraných hmot na dopravní prostředky</t>
  </si>
  <si>
    <t>Vodorovná doprava vybour. hmot po suchu do 5 km</t>
  </si>
  <si>
    <t>Poplatek za skládku suti - asfalt</t>
  </si>
  <si>
    <t>Poplatek za skládku suti - směs kameniva</t>
  </si>
  <si>
    <t>Poplatek za skládku suti - beton</t>
  </si>
  <si>
    <t>Doba výstavby:</t>
  </si>
  <si>
    <t>Začátek výstavby:</t>
  </si>
  <si>
    <t>Konec výstavby:</t>
  </si>
  <si>
    <t>Zpracováno dne:</t>
  </si>
  <si>
    <t>M.j.</t>
  </si>
  <si>
    <t>kpl</t>
  </si>
  <si>
    <t>m2</t>
  </si>
  <si>
    <t>m</t>
  </si>
  <si>
    <t>m3</t>
  </si>
  <si>
    <t>kg</t>
  </si>
  <si>
    <t>kus</t>
  </si>
  <si>
    <t>t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</si>
  <si>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</si>
  <si>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</si>
  <si>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</si>
  <si>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</si>
  <si>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</si>
  <si>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</si>
  <si>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</si>
  <si>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</si>
  <si>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</si>
  <si>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</si>
  <si>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</si>
  <si>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</si>
  <si>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Ohaře, Ohaře 45, 281 30 Ohaře</t>
  </si>
  <si>
    <t>Aleš Jambor, Havelcova 70, 280 02 Kolín III</t>
  </si>
  <si>
    <t>Aleš Jambor</t>
  </si>
  <si>
    <t>Celkem</t>
  </si>
  <si>
    <t>Přesuny</t>
  </si>
  <si>
    <t>Typ skupiny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</si>
  <si>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</si>
  <si>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</si>
  <si>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</si>
  <si>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</si>
  <si>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</si>
  <si>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</si>
  <si>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</si>
  <si>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</si>
  <si>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</si>
  <si>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</si>
  <si>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</si>
  <si>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17_</t>
  </si>
  <si>
    <t>18_</t>
  </si>
  <si>
    <t>56_</t>
  </si>
  <si>
    <t>57_</t>
  </si>
  <si>
    <t>59_</t>
  </si>
  <si>
    <t>91_</t>
  </si>
  <si>
    <t>H22_</t>
  </si>
  <si>
    <t>M46_</t>
  </si>
  <si>
    <t>S_</t>
  </si>
  <si>
    <t>1_</t>
  </si>
  <si>
    <t>5_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</si>
  <si>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</si>
  <si>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</si>
  <si>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</si>
  <si>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</si>
  <si>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</si>
  <si>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</si>
  <si>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</si>
  <si>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</si>
  <si>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</si>
  <si>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</si>
  <si>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</si>
  <si>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</si>
  <si>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</si>
  <si>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</si>
  <si>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</si>
  <si>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</si>
  <si>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</si>
  <si>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</si>
  <si>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</si>
  <si>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</si>
  <si>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</si>
  <si>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</si>
  <si>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</si>
  <si>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</si>
  <si>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</si>
  <si>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</si>
  <si>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</si>
  <si>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</si>
  <si>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</si>
  <si>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</si>
  <si>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</si>
  <si>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</si>
  <si>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</si>
  <si>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</si>
  <si>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</si>
  <si>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</si>
  <si>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</si>
  <si>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</si>
  <si>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</si>
  <si>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</si>
  <si>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</si>
  <si>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</si>
  <si>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</si>
  <si>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</si>
  <si>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</si>
  <si>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</si>
  <si>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</si>
  <si>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</si>
  <si>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</si>
  <si>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</si>
  <si>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</si>
  <si>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00235601/CZ00235601</t>
  </si>
  <si>
    <t>74429884/CZ8203210796</t>
  </si>
  <si>
    <t>Příloha č. 2 -Stavební 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</si>
</sst>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2" fillId="0" borderId="27" xfId="0" applyNumberFormat="1" applyFont="1" applyFill="1" applyBorder="1" applyAlignment="1" applyProtection="1">
      <alignment horizontal="right" vertical="center"/>
      <protection/>
    </xf>
    <xf numFmtId="49" fontId="12" fillId="0" borderId="27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39" xfId="0" applyNumberFormat="1" applyFont="1" applyFill="1" applyBorder="1" applyAlignment="1" applyProtection="1">
      <alignment horizontal="left" vertical="center"/>
      <protection/>
    </xf>
    <xf numFmtId="0" fontId="11" fillId="34" borderId="38" xfId="0" applyNumberFormat="1" applyFont="1" applyFill="1" applyBorder="1" applyAlignment="1" applyProtection="1">
      <alignment horizontal="left" vertical="center"/>
      <protection/>
    </xf>
    <xf numFmtId="49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43"/>
      <c r="C1" s="60" t="s">
        <v>235</v>
      </c>
      <c r="D1" s="61"/>
      <c r="E1" s="61"/>
      <c r="F1" s="61"/>
      <c r="G1" s="61"/>
      <c r="H1" s="61"/>
      <c r="I1" s="61"/>
    </row>
    <row r="2" spans="1:10" ht="12.75">
      <c r="A2" s="62" t="s">
        <v>0</v>
      </c>
      <c r="B2" s="63"/>
      <c r="C2" s="66" t="s">
        <v>102</v>
      </c>
      <c r="D2" s="67"/>
      <c r="E2" s="69" t="s">
        <v>180</v>
      </c>
      <c r="F2" s="69" t="s">
        <v>185</v>
      </c>
      <c r="G2" s="63"/>
      <c r="H2" s="69" t="s">
        <v>260</v>
      </c>
      <c r="I2" s="70" t="s">
        <v>264</v>
      </c>
      <c r="J2" s="28"/>
    </row>
    <row r="3" spans="1:10" ht="12.75">
      <c r="A3" s="64"/>
      <c r="B3" s="65"/>
      <c r="C3" s="68"/>
      <c r="D3" s="68"/>
      <c r="E3" s="65"/>
      <c r="F3" s="65"/>
      <c r="G3" s="65"/>
      <c r="H3" s="65"/>
      <c r="I3" s="71"/>
      <c r="J3" s="28"/>
    </row>
    <row r="4" spans="1:10" ht="12.75">
      <c r="A4" s="72" t="s">
        <v>1</v>
      </c>
      <c r="B4" s="65"/>
      <c r="C4" s="73" t="s">
        <v>103</v>
      </c>
      <c r="D4" s="65"/>
      <c r="E4" s="73" t="s">
        <v>181</v>
      </c>
      <c r="F4" s="73" t="s">
        <v>186</v>
      </c>
      <c r="G4" s="65"/>
      <c r="H4" s="73" t="s">
        <v>260</v>
      </c>
      <c r="I4" s="74" t="s">
        <v>265</v>
      </c>
      <c r="J4" s="28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28"/>
    </row>
    <row r="6" spans="1:10" ht="12.75">
      <c r="A6" s="72" t="s">
        <v>2</v>
      </c>
      <c r="B6" s="65"/>
      <c r="C6" s="73" t="s">
        <v>104</v>
      </c>
      <c r="D6" s="65"/>
      <c r="E6" s="73" t="s">
        <v>182</v>
      </c>
      <c r="F6" s="73"/>
      <c r="G6" s="65"/>
      <c r="H6" s="73" t="s">
        <v>260</v>
      </c>
      <c r="I6" s="74"/>
      <c r="J6" s="28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28"/>
    </row>
    <row r="8" spans="1:10" ht="12.75">
      <c r="A8" s="72" t="s">
        <v>162</v>
      </c>
      <c r="B8" s="65"/>
      <c r="C8" s="75"/>
      <c r="D8" s="65"/>
      <c r="E8" s="73" t="s">
        <v>163</v>
      </c>
      <c r="F8" s="65"/>
      <c r="G8" s="65"/>
      <c r="H8" s="76" t="s">
        <v>261</v>
      </c>
      <c r="I8" s="74" t="s">
        <v>48</v>
      </c>
      <c r="J8" s="28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28"/>
    </row>
    <row r="10" spans="1:10" ht="12.75">
      <c r="A10" s="72" t="s">
        <v>3</v>
      </c>
      <c r="B10" s="65"/>
      <c r="C10" s="73"/>
      <c r="D10" s="65"/>
      <c r="E10" s="73" t="s">
        <v>183</v>
      </c>
      <c r="F10" s="73" t="s">
        <v>187</v>
      </c>
      <c r="G10" s="65"/>
      <c r="H10" s="76" t="s">
        <v>262</v>
      </c>
      <c r="I10" s="79"/>
      <c r="J10" s="28"/>
    </row>
    <row r="11" spans="1:10" ht="12.75">
      <c r="A11" s="77"/>
      <c r="B11" s="78"/>
      <c r="C11" s="78"/>
      <c r="D11" s="78"/>
      <c r="E11" s="78"/>
      <c r="F11" s="78"/>
      <c r="G11" s="78"/>
      <c r="H11" s="78"/>
      <c r="I11" s="80"/>
      <c r="J11" s="28"/>
    </row>
    <row r="12" spans="1:9" ht="23.25" customHeight="1">
      <c r="A12" s="81" t="s">
        <v>220</v>
      </c>
      <c r="B12" s="82"/>
      <c r="C12" s="82"/>
      <c r="D12" s="82"/>
      <c r="E12" s="82"/>
      <c r="F12" s="82"/>
      <c r="G12" s="82"/>
      <c r="H12" s="82"/>
      <c r="I12" s="82"/>
    </row>
    <row r="13" spans="1:10" ht="26.25" customHeight="1">
      <c r="A13" s="44" t="s">
        <v>221</v>
      </c>
      <c r="B13" s="83" t="s">
        <v>233</v>
      </c>
      <c r="C13" s="84"/>
      <c r="D13" s="44" t="s">
        <v>236</v>
      </c>
      <c r="E13" s="83" t="s">
        <v>245</v>
      </c>
      <c r="F13" s="84"/>
      <c r="G13" s="44" t="s">
        <v>246</v>
      </c>
      <c r="H13" s="83" t="s">
        <v>263</v>
      </c>
      <c r="I13" s="84"/>
      <c r="J13" s="28"/>
    </row>
    <row r="14" spans="1:10" ht="15" customHeight="1">
      <c r="A14" s="45" t="s">
        <v>222</v>
      </c>
      <c r="B14" s="49" t="s">
        <v>234</v>
      </c>
      <c r="C14" s="53">
        <f>SUM('Stavební rozpočet'!O12:O65)</f>
        <v>0</v>
      </c>
      <c r="D14" s="85" t="s">
        <v>237</v>
      </c>
      <c r="E14" s="86"/>
      <c r="F14" s="53">
        <v>0</v>
      </c>
      <c r="G14" s="85" t="s">
        <v>247</v>
      </c>
      <c r="H14" s="86"/>
      <c r="I14" s="53">
        <v>0</v>
      </c>
      <c r="J14" s="28"/>
    </row>
    <row r="15" spans="1:10" ht="15" customHeight="1">
      <c r="A15" s="46"/>
      <c r="B15" s="49" t="s">
        <v>184</v>
      </c>
      <c r="C15" s="53">
        <f>SUM('Stavební rozpočet'!P12:P65)</f>
        <v>0</v>
      </c>
      <c r="D15" s="85" t="s">
        <v>238</v>
      </c>
      <c r="E15" s="86"/>
      <c r="F15" s="53">
        <v>0</v>
      </c>
      <c r="G15" s="85" t="s">
        <v>248</v>
      </c>
      <c r="H15" s="86"/>
      <c r="I15" s="53">
        <v>0</v>
      </c>
      <c r="J15" s="28"/>
    </row>
    <row r="16" spans="1:10" ht="15" customHeight="1">
      <c r="A16" s="45" t="s">
        <v>223</v>
      </c>
      <c r="B16" s="49" t="s">
        <v>234</v>
      </c>
      <c r="C16" s="53">
        <f>SUM('Stavební rozpočet'!Q12:Q65)</f>
        <v>0</v>
      </c>
      <c r="D16" s="85" t="s">
        <v>239</v>
      </c>
      <c r="E16" s="86"/>
      <c r="F16" s="53">
        <v>0</v>
      </c>
      <c r="G16" s="85" t="s">
        <v>249</v>
      </c>
      <c r="H16" s="86"/>
      <c r="I16" s="53">
        <v>0</v>
      </c>
      <c r="J16" s="28"/>
    </row>
    <row r="17" spans="1:10" ht="15" customHeight="1">
      <c r="A17" s="46"/>
      <c r="B17" s="49" t="s">
        <v>184</v>
      </c>
      <c r="C17" s="53">
        <f>SUM('Stavební rozpočet'!R12:R65)</f>
        <v>0</v>
      </c>
      <c r="D17" s="85"/>
      <c r="E17" s="86"/>
      <c r="F17" s="54"/>
      <c r="G17" s="85" t="s">
        <v>250</v>
      </c>
      <c r="H17" s="86"/>
      <c r="I17" s="53">
        <v>0</v>
      </c>
      <c r="J17" s="28"/>
    </row>
    <row r="18" spans="1:10" ht="15" customHeight="1">
      <c r="A18" s="45" t="s">
        <v>224</v>
      </c>
      <c r="B18" s="49" t="s">
        <v>234</v>
      </c>
      <c r="C18" s="53">
        <f>SUM('Stavební rozpočet'!S12:S65)</f>
        <v>0</v>
      </c>
      <c r="D18" s="85"/>
      <c r="E18" s="86"/>
      <c r="F18" s="54"/>
      <c r="G18" s="85" t="s">
        <v>251</v>
      </c>
      <c r="H18" s="86"/>
      <c r="I18" s="53">
        <v>0</v>
      </c>
      <c r="J18" s="28"/>
    </row>
    <row r="19" spans="1:10" ht="15" customHeight="1">
      <c r="A19" s="46"/>
      <c r="B19" s="49" t="s">
        <v>184</v>
      </c>
      <c r="C19" s="53">
        <f>SUM('Stavební rozpočet'!T12:T65)</f>
        <v>0</v>
      </c>
      <c r="D19" s="85"/>
      <c r="E19" s="86"/>
      <c r="F19" s="54"/>
      <c r="G19" s="85" t="s">
        <v>252</v>
      </c>
      <c r="H19" s="86"/>
      <c r="I19" s="53">
        <v>0</v>
      </c>
      <c r="J19" s="28"/>
    </row>
    <row r="20" spans="1:10" ht="15" customHeight="1">
      <c r="A20" s="87" t="s">
        <v>225</v>
      </c>
      <c r="B20" s="88"/>
      <c r="C20" s="53">
        <f>SUM('Stavební rozpočet'!U12:U65)</f>
        <v>0</v>
      </c>
      <c r="D20" s="85"/>
      <c r="E20" s="86"/>
      <c r="F20" s="54"/>
      <c r="G20" s="85"/>
      <c r="H20" s="86"/>
      <c r="I20" s="54"/>
      <c r="J20" s="28"/>
    </row>
    <row r="21" spans="1:10" ht="15" customHeight="1">
      <c r="A21" s="87" t="s">
        <v>226</v>
      </c>
      <c r="B21" s="88"/>
      <c r="C21" s="53">
        <f>SUM('Stavební rozpočet'!M12:M65)</f>
        <v>0</v>
      </c>
      <c r="D21" s="85"/>
      <c r="E21" s="86"/>
      <c r="F21" s="54"/>
      <c r="G21" s="85"/>
      <c r="H21" s="86"/>
      <c r="I21" s="54"/>
      <c r="J21" s="28"/>
    </row>
    <row r="22" spans="1:10" ht="16.5" customHeight="1">
      <c r="A22" s="87" t="s">
        <v>227</v>
      </c>
      <c r="B22" s="88"/>
      <c r="C22" s="53">
        <f>SUM(C14:C21)</f>
        <v>0</v>
      </c>
      <c r="D22" s="87" t="s">
        <v>240</v>
      </c>
      <c r="E22" s="88"/>
      <c r="F22" s="53">
        <f>SUM(F14:F21)</f>
        <v>0</v>
      </c>
      <c r="G22" s="87" t="s">
        <v>253</v>
      </c>
      <c r="H22" s="88"/>
      <c r="I22" s="53">
        <f>SUM(I14:I21)</f>
        <v>0</v>
      </c>
      <c r="J22" s="28"/>
    </row>
    <row r="23" spans="1:10" ht="15" customHeight="1">
      <c r="A23" s="8"/>
      <c r="B23" s="8"/>
      <c r="C23" s="51"/>
      <c r="D23" s="87" t="s">
        <v>241</v>
      </c>
      <c r="E23" s="88"/>
      <c r="F23" s="55">
        <v>0</v>
      </c>
      <c r="G23" s="87" t="s">
        <v>254</v>
      </c>
      <c r="H23" s="88"/>
      <c r="I23" s="53">
        <v>0</v>
      </c>
      <c r="J23" s="28"/>
    </row>
    <row r="24" spans="4:10" ht="15" customHeight="1">
      <c r="D24" s="8"/>
      <c r="E24" s="8"/>
      <c r="F24" s="56"/>
      <c r="G24" s="87" t="s">
        <v>255</v>
      </c>
      <c r="H24" s="88"/>
      <c r="I24" s="53">
        <v>0</v>
      </c>
      <c r="J24" s="28"/>
    </row>
    <row r="25" spans="6:10" ht="15" customHeight="1">
      <c r="F25" s="57"/>
      <c r="G25" s="87" t="s">
        <v>256</v>
      </c>
      <c r="H25" s="88"/>
      <c r="I25" s="53">
        <v>0</v>
      </c>
      <c r="J25" s="28"/>
    </row>
    <row r="26" spans="1:9" ht="12.75">
      <c r="A26" s="43"/>
      <c r="B26" s="43"/>
      <c r="C26" s="43"/>
      <c r="G26" s="8"/>
      <c r="H26" s="8"/>
      <c r="I26" s="8"/>
    </row>
    <row r="27" spans="1:9" ht="15" customHeight="1">
      <c r="A27" s="89" t="s">
        <v>228</v>
      </c>
      <c r="B27" s="90"/>
      <c r="C27" s="58">
        <f>SUM('Stavební rozpočet'!W12:W65)</f>
        <v>0</v>
      </c>
      <c r="D27" s="52"/>
      <c r="E27" s="43"/>
      <c r="F27" s="43"/>
      <c r="G27" s="43"/>
      <c r="H27" s="43"/>
      <c r="I27" s="43"/>
    </row>
    <row r="28" spans="1:10" ht="15" customHeight="1">
      <c r="A28" s="89" t="s">
        <v>229</v>
      </c>
      <c r="B28" s="90"/>
      <c r="C28" s="58">
        <f>SUM('Stavební rozpočet'!X12:X65)</f>
        <v>0</v>
      </c>
      <c r="D28" s="89" t="s">
        <v>242</v>
      </c>
      <c r="E28" s="90"/>
      <c r="F28" s="58">
        <f>ROUND(C28*(15/100),2)</f>
        <v>0</v>
      </c>
      <c r="G28" s="89" t="s">
        <v>257</v>
      </c>
      <c r="H28" s="90"/>
      <c r="I28" s="58">
        <f>SUM(C27:C29)</f>
        <v>0</v>
      </c>
      <c r="J28" s="28"/>
    </row>
    <row r="29" spans="1:10" ht="15" customHeight="1">
      <c r="A29" s="89" t="s">
        <v>230</v>
      </c>
      <c r="B29" s="90"/>
      <c r="C29" s="58">
        <f>SUM('Stavební rozpočet'!Y12:Y65)+(F22+I22+F23+I23+I24+I25)</f>
        <v>0</v>
      </c>
      <c r="D29" s="89" t="s">
        <v>243</v>
      </c>
      <c r="E29" s="90"/>
      <c r="F29" s="58">
        <f>ROUND(C29*(21/100),2)</f>
        <v>0</v>
      </c>
      <c r="G29" s="89" t="s">
        <v>258</v>
      </c>
      <c r="H29" s="90"/>
      <c r="I29" s="58">
        <f>SUM(F28:F29)+I28</f>
        <v>0</v>
      </c>
      <c r="J29" s="28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10" ht="14.25" customHeight="1">
      <c r="A31" s="91" t="s">
        <v>231</v>
      </c>
      <c r="B31" s="92"/>
      <c r="C31" s="93"/>
      <c r="D31" s="91" t="s">
        <v>244</v>
      </c>
      <c r="E31" s="92"/>
      <c r="F31" s="93"/>
      <c r="G31" s="91" t="s">
        <v>259</v>
      </c>
      <c r="H31" s="92"/>
      <c r="I31" s="93"/>
      <c r="J31" s="29"/>
    </row>
    <row r="32" spans="1:10" ht="14.25" customHeight="1">
      <c r="A32" s="94"/>
      <c r="B32" s="95"/>
      <c r="C32" s="96"/>
      <c r="D32" s="94"/>
      <c r="E32" s="95"/>
      <c r="F32" s="96"/>
      <c r="G32" s="94"/>
      <c r="H32" s="95"/>
      <c r="I32" s="96"/>
      <c r="J32" s="29"/>
    </row>
    <row r="33" spans="1:10" ht="14.25" customHeight="1">
      <c r="A33" s="94"/>
      <c r="B33" s="95"/>
      <c r="C33" s="96"/>
      <c r="D33" s="94"/>
      <c r="E33" s="95"/>
      <c r="F33" s="96"/>
      <c r="G33" s="94"/>
      <c r="H33" s="95"/>
      <c r="I33" s="96"/>
      <c r="J33" s="29"/>
    </row>
    <row r="34" spans="1:10" ht="14.25" customHeight="1">
      <c r="A34" s="94"/>
      <c r="B34" s="95"/>
      <c r="C34" s="96"/>
      <c r="D34" s="94"/>
      <c r="E34" s="95"/>
      <c r="F34" s="96"/>
      <c r="G34" s="94"/>
      <c r="H34" s="95"/>
      <c r="I34" s="96"/>
      <c r="J34" s="29"/>
    </row>
    <row r="35" spans="1:10" ht="14.25" customHeight="1">
      <c r="A35" s="97" t="s">
        <v>232</v>
      </c>
      <c r="B35" s="98"/>
      <c r="C35" s="99"/>
      <c r="D35" s="97" t="s">
        <v>232</v>
      </c>
      <c r="E35" s="98"/>
      <c r="F35" s="99"/>
      <c r="G35" s="97" t="s">
        <v>232</v>
      </c>
      <c r="H35" s="98"/>
      <c r="I35" s="99"/>
      <c r="J35" s="29"/>
    </row>
    <row r="36" spans="1:9" ht="11.25" customHeight="1">
      <c r="A36" s="48" t="s">
        <v>49</v>
      </c>
      <c r="B36" s="50"/>
      <c r="C36" s="50"/>
      <c r="D36" s="50"/>
      <c r="E36" s="50"/>
      <c r="F36" s="50"/>
      <c r="G36" s="50"/>
      <c r="H36" s="50"/>
      <c r="I36" s="50"/>
    </row>
    <row r="37" spans="1:9" ht="409.5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F22" sqref="F2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8" width="0" style="0" hidden="1" customWidth="1"/>
  </cols>
  <sheetData>
    <row r="1" spans="1:6" ht="72.75" customHeight="1">
      <c r="A1" s="100" t="s">
        <v>215</v>
      </c>
      <c r="B1" s="101"/>
      <c r="C1" s="101"/>
      <c r="D1" s="101"/>
      <c r="E1" s="101"/>
      <c r="F1" s="101"/>
    </row>
    <row r="2" spans="1:7" ht="12.75">
      <c r="A2" s="62" t="s">
        <v>0</v>
      </c>
      <c r="B2" s="66" t="s">
        <v>102</v>
      </c>
      <c r="C2" s="67"/>
      <c r="D2" s="69" t="s">
        <v>180</v>
      </c>
      <c r="E2" s="69" t="s">
        <v>185</v>
      </c>
      <c r="F2" s="102"/>
      <c r="G2" s="28"/>
    </row>
    <row r="3" spans="1:7" ht="12.75">
      <c r="A3" s="64"/>
      <c r="B3" s="68"/>
      <c r="C3" s="68"/>
      <c r="D3" s="65"/>
      <c r="E3" s="65"/>
      <c r="F3" s="71"/>
      <c r="G3" s="28"/>
    </row>
    <row r="4" spans="1:7" ht="12.75">
      <c r="A4" s="72" t="s">
        <v>1</v>
      </c>
      <c r="B4" s="73" t="s">
        <v>103</v>
      </c>
      <c r="C4" s="65"/>
      <c r="D4" s="73" t="s">
        <v>181</v>
      </c>
      <c r="E4" s="73" t="s">
        <v>186</v>
      </c>
      <c r="F4" s="71"/>
      <c r="G4" s="28"/>
    </row>
    <row r="5" spans="1:7" ht="12.75">
      <c r="A5" s="64"/>
      <c r="B5" s="65"/>
      <c r="C5" s="65"/>
      <c r="D5" s="65"/>
      <c r="E5" s="65"/>
      <c r="F5" s="71"/>
      <c r="G5" s="28"/>
    </row>
    <row r="6" spans="1:7" ht="12.75">
      <c r="A6" s="72" t="s">
        <v>2</v>
      </c>
      <c r="B6" s="73" t="s">
        <v>104</v>
      </c>
      <c r="C6" s="65"/>
      <c r="D6" s="73" t="s">
        <v>182</v>
      </c>
      <c r="E6" s="73"/>
      <c r="F6" s="71"/>
      <c r="G6" s="28"/>
    </row>
    <row r="7" spans="1:7" ht="12.75">
      <c r="A7" s="64"/>
      <c r="B7" s="65"/>
      <c r="C7" s="65"/>
      <c r="D7" s="65"/>
      <c r="E7" s="65"/>
      <c r="F7" s="71"/>
      <c r="G7" s="28"/>
    </row>
    <row r="8" spans="1:7" ht="12.75">
      <c r="A8" s="72" t="s">
        <v>183</v>
      </c>
      <c r="B8" s="73" t="s">
        <v>187</v>
      </c>
      <c r="C8" s="65"/>
      <c r="D8" s="76" t="s">
        <v>164</v>
      </c>
      <c r="E8" s="75"/>
      <c r="F8" s="71"/>
      <c r="G8" s="28"/>
    </row>
    <row r="9" spans="1:7" ht="13.5" thickBot="1">
      <c r="A9" s="103"/>
      <c r="B9" s="104"/>
      <c r="C9" s="104"/>
      <c r="D9" s="104"/>
      <c r="E9" s="104"/>
      <c r="F9" s="105"/>
      <c r="G9" s="28"/>
    </row>
    <row r="10" spans="1:7" ht="13.5" thickBot="1">
      <c r="A10" s="36" t="s">
        <v>50</v>
      </c>
      <c r="B10" s="38" t="s">
        <v>51</v>
      </c>
      <c r="C10" s="39" t="s">
        <v>105</v>
      </c>
      <c r="D10" s="40" t="s">
        <v>216</v>
      </c>
      <c r="E10" s="40" t="s">
        <v>217</v>
      </c>
      <c r="F10" s="40" t="s">
        <v>218</v>
      </c>
      <c r="G10" s="29"/>
    </row>
    <row r="11" spans="1:8" ht="12.75">
      <c r="A11" s="37"/>
      <c r="B11" s="37" t="s">
        <v>52</v>
      </c>
      <c r="C11" s="37" t="s">
        <v>107</v>
      </c>
      <c r="D11" s="41">
        <f>'Stavební rozpočet'!H12</f>
        <v>0</v>
      </c>
      <c r="E11" s="41">
        <f>'Stavební rozpočet'!I12</f>
        <v>0</v>
      </c>
      <c r="F11" s="41">
        <f>D11+E11</f>
        <v>0</v>
      </c>
      <c r="G11" s="30" t="s">
        <v>219</v>
      </c>
      <c r="H11" s="30">
        <f aca="true" t="shared" si="0" ref="H11:H21">IF(G11="T",0,F11)</f>
        <v>0</v>
      </c>
    </row>
    <row r="12" spans="1:8" ht="12.75">
      <c r="A12" s="15"/>
      <c r="B12" s="15" t="s">
        <v>16</v>
      </c>
      <c r="C12" s="15" t="s">
        <v>110</v>
      </c>
      <c r="D12" s="30">
        <v>0</v>
      </c>
      <c r="E12" s="30">
        <v>0</v>
      </c>
      <c r="F12" s="30">
        <v>0</v>
      </c>
      <c r="G12" s="30" t="s">
        <v>219</v>
      </c>
      <c r="H12" s="30">
        <f t="shared" si="0"/>
        <v>0</v>
      </c>
    </row>
    <row r="13" spans="1:8" ht="12.75">
      <c r="A13" s="15"/>
      <c r="B13" s="15" t="s">
        <v>22</v>
      </c>
      <c r="C13" s="15" t="s">
        <v>115</v>
      </c>
      <c r="D13" s="30">
        <v>0</v>
      </c>
      <c r="E13" s="30">
        <v>0</v>
      </c>
      <c r="F13" s="30">
        <v>0</v>
      </c>
      <c r="G13" s="30" t="s">
        <v>219</v>
      </c>
      <c r="H13" s="30">
        <f t="shared" si="0"/>
        <v>0</v>
      </c>
    </row>
    <row r="14" spans="1:8" ht="12.75">
      <c r="A14" s="15"/>
      <c r="B14" s="15" t="s">
        <v>23</v>
      </c>
      <c r="C14" s="15" t="s">
        <v>117</v>
      </c>
      <c r="D14" s="30">
        <v>0</v>
      </c>
      <c r="E14" s="30">
        <v>0</v>
      </c>
      <c r="F14" s="30">
        <v>0</v>
      </c>
      <c r="G14" s="30" t="s">
        <v>219</v>
      </c>
      <c r="H14" s="30">
        <f t="shared" si="0"/>
        <v>0</v>
      </c>
    </row>
    <row r="15" spans="1:8" ht="12.75">
      <c r="A15" s="15"/>
      <c r="B15" s="15" t="s">
        <v>63</v>
      </c>
      <c r="C15" s="15" t="s">
        <v>121</v>
      </c>
      <c r="D15" s="30">
        <v>0</v>
      </c>
      <c r="E15" s="30">
        <v>0</v>
      </c>
      <c r="F15" s="30">
        <v>0</v>
      </c>
      <c r="G15" s="30" t="s">
        <v>219</v>
      </c>
      <c r="H15" s="30">
        <f t="shared" si="0"/>
        <v>0</v>
      </c>
    </row>
    <row r="16" spans="1:8" ht="12.75">
      <c r="A16" s="15"/>
      <c r="B16" s="15" t="s">
        <v>66</v>
      </c>
      <c r="C16" s="15" t="s">
        <v>125</v>
      </c>
      <c r="D16" s="30">
        <v>0</v>
      </c>
      <c r="E16" s="30">
        <v>0</v>
      </c>
      <c r="F16" s="30">
        <v>0</v>
      </c>
      <c r="G16" s="30" t="s">
        <v>219</v>
      </c>
      <c r="H16" s="30">
        <f t="shared" si="0"/>
        <v>0</v>
      </c>
    </row>
    <row r="17" spans="1:8" ht="12.75">
      <c r="A17" s="15"/>
      <c r="B17" s="15" t="s">
        <v>70</v>
      </c>
      <c r="C17" s="15" t="s">
        <v>129</v>
      </c>
      <c r="D17" s="30">
        <v>0</v>
      </c>
      <c r="E17" s="30">
        <v>0</v>
      </c>
      <c r="F17" s="30">
        <v>0</v>
      </c>
      <c r="G17" s="30" t="s">
        <v>219</v>
      </c>
      <c r="H17" s="30">
        <f t="shared" si="0"/>
        <v>0</v>
      </c>
    </row>
    <row r="18" spans="1:8" ht="12.75">
      <c r="A18" s="15"/>
      <c r="B18" s="15" t="s">
        <v>77</v>
      </c>
      <c r="C18" s="15" t="s">
        <v>136</v>
      </c>
      <c r="D18" s="30">
        <v>0</v>
      </c>
      <c r="E18" s="30">
        <v>0</v>
      </c>
      <c r="F18" s="30">
        <v>0</v>
      </c>
      <c r="G18" s="30" t="s">
        <v>219</v>
      </c>
      <c r="H18" s="30">
        <f t="shared" si="0"/>
        <v>0</v>
      </c>
    </row>
    <row r="19" spans="1:8" ht="12.75">
      <c r="A19" s="15"/>
      <c r="B19" s="15" t="s">
        <v>85</v>
      </c>
      <c r="C19" s="15" t="s">
        <v>144</v>
      </c>
      <c r="D19" s="30">
        <v>0</v>
      </c>
      <c r="E19" s="30">
        <v>0</v>
      </c>
      <c r="F19" s="30">
        <v>0</v>
      </c>
      <c r="G19" s="30" t="s">
        <v>219</v>
      </c>
      <c r="H19" s="30">
        <f t="shared" si="0"/>
        <v>0</v>
      </c>
    </row>
    <row r="20" spans="1:8" ht="12.75">
      <c r="A20" s="15"/>
      <c r="B20" s="15" t="s">
        <v>94</v>
      </c>
      <c r="C20" s="15" t="s">
        <v>153</v>
      </c>
      <c r="D20" s="30">
        <v>0</v>
      </c>
      <c r="E20" s="30">
        <v>0</v>
      </c>
      <c r="F20" s="30">
        <v>0</v>
      </c>
      <c r="G20" s="30" t="s">
        <v>219</v>
      </c>
      <c r="H20" s="30">
        <f t="shared" si="0"/>
        <v>0</v>
      </c>
    </row>
    <row r="21" spans="1:8" ht="12.75">
      <c r="A21" s="15"/>
      <c r="B21" s="15" t="s">
        <v>96</v>
      </c>
      <c r="C21" s="15" t="s">
        <v>155</v>
      </c>
      <c r="D21" s="30">
        <v>0</v>
      </c>
      <c r="E21" s="30">
        <v>0</v>
      </c>
      <c r="F21" s="30">
        <v>0</v>
      </c>
      <c r="G21" s="30" t="s">
        <v>219</v>
      </c>
      <c r="H21" s="30">
        <f t="shared" si="0"/>
        <v>0</v>
      </c>
    </row>
    <row r="23" spans="5:6" ht="12.75">
      <c r="E23" s="42" t="s">
        <v>179</v>
      </c>
      <c r="F23" s="35">
        <f>SUM(H11:H21)</f>
        <v>0</v>
      </c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tabSelected="1" zoomScalePageLayoutView="0" workbookViewId="0" topLeftCell="A1">
      <selection activeCell="A2" sqref="A2:C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95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72.75" customHeight="1">
      <c r="A1" s="100" t="s">
        <v>266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12.75">
      <c r="A2" s="62" t="s">
        <v>0</v>
      </c>
      <c r="B2" s="63"/>
      <c r="C2" s="63"/>
      <c r="D2" s="66" t="s">
        <v>102</v>
      </c>
      <c r="E2" s="106" t="s">
        <v>161</v>
      </c>
      <c r="F2" s="63"/>
      <c r="G2" s="106"/>
      <c r="H2" s="63"/>
      <c r="I2" s="69" t="s">
        <v>180</v>
      </c>
      <c r="J2" s="69" t="s">
        <v>185</v>
      </c>
      <c r="K2" s="28"/>
    </row>
    <row r="3" spans="1:11" ht="12.75">
      <c r="A3" s="64"/>
      <c r="B3" s="65"/>
      <c r="C3" s="65"/>
      <c r="D3" s="68"/>
      <c r="E3" s="65"/>
      <c r="F3" s="65"/>
      <c r="G3" s="65"/>
      <c r="H3" s="65"/>
      <c r="I3" s="65"/>
      <c r="J3" s="65"/>
      <c r="K3" s="28"/>
    </row>
    <row r="4" spans="1:11" ht="12.75">
      <c r="A4" s="72" t="s">
        <v>1</v>
      </c>
      <c r="B4" s="65"/>
      <c r="C4" s="65"/>
      <c r="D4" s="73" t="s">
        <v>103</v>
      </c>
      <c r="E4" s="76" t="s">
        <v>162</v>
      </c>
      <c r="F4" s="65"/>
      <c r="G4" s="75"/>
      <c r="H4" s="65"/>
      <c r="I4" s="73" t="s">
        <v>181</v>
      </c>
      <c r="J4" s="73" t="s">
        <v>186</v>
      </c>
      <c r="K4" s="28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28"/>
    </row>
    <row r="6" spans="1:11" ht="12.75">
      <c r="A6" s="72" t="s">
        <v>2</v>
      </c>
      <c r="B6" s="65"/>
      <c r="C6" s="65"/>
      <c r="D6" s="73" t="s">
        <v>104</v>
      </c>
      <c r="E6" s="76" t="s">
        <v>163</v>
      </c>
      <c r="F6" s="65"/>
      <c r="G6" s="65"/>
      <c r="H6" s="65"/>
      <c r="I6" s="73" t="s">
        <v>182</v>
      </c>
      <c r="J6" s="73"/>
      <c r="K6" s="28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28"/>
    </row>
    <row r="8" spans="1:11" ht="12.75">
      <c r="A8" s="72" t="s">
        <v>3</v>
      </c>
      <c r="B8" s="65"/>
      <c r="C8" s="65"/>
      <c r="D8" s="73"/>
      <c r="E8" s="76" t="s">
        <v>164</v>
      </c>
      <c r="F8" s="65"/>
      <c r="G8" s="75"/>
      <c r="H8" s="65"/>
      <c r="I8" s="73" t="s">
        <v>183</v>
      </c>
      <c r="J8" s="73" t="s">
        <v>187</v>
      </c>
      <c r="K8" s="28"/>
    </row>
    <row r="9" spans="1:11" ht="12.7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28"/>
    </row>
    <row r="10" spans="1:11" ht="12.75">
      <c r="A10" s="1" t="s">
        <v>4</v>
      </c>
      <c r="B10" s="10" t="s">
        <v>50</v>
      </c>
      <c r="C10" s="10" t="s">
        <v>51</v>
      </c>
      <c r="D10" s="10" t="s">
        <v>105</v>
      </c>
      <c r="E10" s="10" t="s">
        <v>165</v>
      </c>
      <c r="F10" s="16" t="s">
        <v>174</v>
      </c>
      <c r="G10" s="20" t="s">
        <v>175</v>
      </c>
      <c r="H10" s="107" t="s">
        <v>177</v>
      </c>
      <c r="I10" s="108"/>
      <c r="J10" s="109"/>
      <c r="K10" s="29"/>
    </row>
    <row r="11" spans="1:21" ht="12.75">
      <c r="A11" s="2" t="s">
        <v>5</v>
      </c>
      <c r="B11" s="11" t="s">
        <v>5</v>
      </c>
      <c r="C11" s="11" t="s">
        <v>5</v>
      </c>
      <c r="D11" s="14" t="s">
        <v>106</v>
      </c>
      <c r="E11" s="11" t="s">
        <v>5</v>
      </c>
      <c r="F11" s="11" t="s">
        <v>5</v>
      </c>
      <c r="G11" s="21" t="s">
        <v>176</v>
      </c>
      <c r="H11" s="22" t="s">
        <v>178</v>
      </c>
      <c r="I11" s="23" t="s">
        <v>184</v>
      </c>
      <c r="J11" s="24" t="s">
        <v>188</v>
      </c>
      <c r="K11" s="29"/>
      <c r="M11" s="25" t="s">
        <v>189</v>
      </c>
      <c r="N11" s="25" t="s">
        <v>190</v>
      </c>
      <c r="O11" s="25" t="s">
        <v>193</v>
      </c>
      <c r="P11" s="25" t="s">
        <v>194</v>
      </c>
      <c r="Q11" s="25" t="s">
        <v>195</v>
      </c>
      <c r="R11" s="25" t="s">
        <v>196</v>
      </c>
      <c r="S11" s="25" t="s">
        <v>197</v>
      </c>
      <c r="T11" s="25" t="s">
        <v>198</v>
      </c>
      <c r="U11" s="25" t="s">
        <v>199</v>
      </c>
    </row>
    <row r="12" spans="1:34" ht="12.75">
      <c r="A12" s="3"/>
      <c r="B12" s="12"/>
      <c r="C12" s="12" t="s">
        <v>52</v>
      </c>
      <c r="D12" s="110" t="s">
        <v>107</v>
      </c>
      <c r="E12" s="111"/>
      <c r="F12" s="111"/>
      <c r="G12" s="111"/>
      <c r="H12" s="32">
        <f>SUM(H13:H14)</f>
        <v>0</v>
      </c>
      <c r="I12" s="32">
        <f>SUM(I13:I14)</f>
        <v>0</v>
      </c>
      <c r="J12" s="32">
        <f>H12+I12</f>
        <v>0</v>
      </c>
      <c r="M12" s="33">
        <f>IF(N12="PR",J12,SUM(L13:L14))</f>
        <v>0</v>
      </c>
      <c r="N12" s="25" t="s">
        <v>191</v>
      </c>
      <c r="O12" s="33">
        <f>IF(N12="HS",H12,0)</f>
        <v>0</v>
      </c>
      <c r="P12" s="33">
        <f>IF(N12="HS",I12-M12,0)</f>
        <v>0</v>
      </c>
      <c r="Q12" s="33">
        <f>IF(N12="PS",H12,0)</f>
        <v>0</v>
      </c>
      <c r="R12" s="33">
        <f>IF(N12="PS",I12-M12,0)</f>
        <v>0</v>
      </c>
      <c r="S12" s="33">
        <f>IF(N12="MP",H12,0)</f>
        <v>0</v>
      </c>
      <c r="T12" s="33">
        <f>IF(N12="MP",I12-M12,0)</f>
        <v>0</v>
      </c>
      <c r="U12" s="33">
        <f>IF(N12="OM",H12,0)</f>
        <v>0</v>
      </c>
      <c r="V12" s="25"/>
      <c r="AF12" s="33">
        <f>SUM(W13:W14)</f>
        <v>0</v>
      </c>
      <c r="AG12" s="33">
        <f>SUM(X13:X14)</f>
        <v>0</v>
      </c>
      <c r="AH12" s="33">
        <f>SUM(Y13:Y14)</f>
        <v>0</v>
      </c>
    </row>
    <row r="13" spans="1:40" ht="12.75">
      <c r="A13" s="4" t="s">
        <v>6</v>
      </c>
      <c r="B13" s="4"/>
      <c r="C13" s="4" t="s">
        <v>53</v>
      </c>
      <c r="D13" s="4" t="s">
        <v>108</v>
      </c>
      <c r="E13" s="4" t="s">
        <v>166</v>
      </c>
      <c r="F13" s="17">
        <v>1</v>
      </c>
      <c r="G13" s="17"/>
      <c r="H13" s="17">
        <f>F13*AB13</f>
        <v>0</v>
      </c>
      <c r="I13" s="17">
        <f>J13-H13</f>
        <v>0</v>
      </c>
      <c r="J13" s="17">
        <f>F13*G13</f>
        <v>0</v>
      </c>
      <c r="K13" s="26" t="s">
        <v>6</v>
      </c>
      <c r="L13" s="17">
        <f>IF(K13="5",I13,0)</f>
        <v>0</v>
      </c>
      <c r="W13" s="17">
        <f>IF(AA13=0,J13,0)</f>
        <v>0</v>
      </c>
      <c r="X13" s="17">
        <f>IF(AA13=15,J13,0)</f>
        <v>0</v>
      </c>
      <c r="Y13" s="17">
        <f>IF(AA13=21,J13,0)</f>
        <v>0</v>
      </c>
      <c r="AA13" s="30">
        <v>21</v>
      </c>
      <c r="AB13" s="30">
        <f>G13*0</f>
        <v>0</v>
      </c>
      <c r="AC13" s="30">
        <f>G13*(1-0)</f>
        <v>0</v>
      </c>
      <c r="AJ13" s="30">
        <f>F13*AB13</f>
        <v>0</v>
      </c>
      <c r="AK13" s="30">
        <f>F13*AC13</f>
        <v>0</v>
      </c>
      <c r="AL13" s="31" t="s">
        <v>200</v>
      </c>
      <c r="AM13" s="31" t="s">
        <v>200</v>
      </c>
      <c r="AN13" s="25" t="s">
        <v>214</v>
      </c>
    </row>
    <row r="14" spans="1:40" ht="12.75">
      <c r="A14" s="4" t="s">
        <v>7</v>
      </c>
      <c r="B14" s="4"/>
      <c r="C14" s="4" t="s">
        <v>54</v>
      </c>
      <c r="D14" s="4" t="s">
        <v>109</v>
      </c>
      <c r="E14" s="4" t="s">
        <v>166</v>
      </c>
      <c r="F14" s="17">
        <v>1</v>
      </c>
      <c r="G14" s="17"/>
      <c r="H14" s="17">
        <f>F14*AB14</f>
        <v>0</v>
      </c>
      <c r="I14" s="17">
        <f>J14-H14</f>
        <v>0</v>
      </c>
      <c r="J14" s="17">
        <f>F14*G14</f>
        <v>0</v>
      </c>
      <c r="K14" s="26" t="s">
        <v>6</v>
      </c>
      <c r="L14" s="17">
        <f>IF(K14="5",I14,0)</f>
        <v>0</v>
      </c>
      <c r="W14" s="17">
        <f>IF(AA14=0,J14,0)</f>
        <v>0</v>
      </c>
      <c r="X14" s="17">
        <f>IF(AA14=15,J14,0)</f>
        <v>0</v>
      </c>
      <c r="Y14" s="17">
        <f>IF(AA14=21,J14,0)</f>
        <v>0</v>
      </c>
      <c r="AA14" s="30">
        <v>21</v>
      </c>
      <c r="AB14" s="30">
        <f>G14*0</f>
        <v>0</v>
      </c>
      <c r="AC14" s="30">
        <f>G14*(1-0)</f>
        <v>0</v>
      </c>
      <c r="AJ14" s="30">
        <f>F14*AB14</f>
        <v>0</v>
      </c>
      <c r="AK14" s="30">
        <f>F14*AC14</f>
        <v>0</v>
      </c>
      <c r="AL14" s="31" t="s">
        <v>200</v>
      </c>
      <c r="AM14" s="31" t="s">
        <v>200</v>
      </c>
      <c r="AN14" s="25" t="s">
        <v>214</v>
      </c>
    </row>
    <row r="15" spans="1:34" ht="12.75">
      <c r="A15" s="5"/>
      <c r="B15" s="13"/>
      <c r="C15" s="13" t="s">
        <v>16</v>
      </c>
      <c r="D15" s="112" t="s">
        <v>110</v>
      </c>
      <c r="E15" s="113"/>
      <c r="F15" s="113"/>
      <c r="G15" s="113"/>
      <c r="H15" s="33">
        <f>SUM(H16:H19)</f>
        <v>0</v>
      </c>
      <c r="I15" s="33">
        <f>SUM(I16:I19)</f>
        <v>0</v>
      </c>
      <c r="J15" s="33">
        <f>H15+I15</f>
        <v>0</v>
      </c>
      <c r="M15" s="33">
        <f>IF(N15="PR",J15,SUM(L16:L19))</f>
        <v>0</v>
      </c>
      <c r="N15" s="25" t="s">
        <v>191</v>
      </c>
      <c r="O15" s="33">
        <f>IF(N15="HS",H15,0)</f>
        <v>0</v>
      </c>
      <c r="P15" s="33">
        <f>IF(N15="HS",I15-M15,0)</f>
        <v>0</v>
      </c>
      <c r="Q15" s="33">
        <f>IF(N15="PS",H15,0)</f>
        <v>0</v>
      </c>
      <c r="R15" s="33">
        <f>IF(N15="PS",I15-M15,0)</f>
        <v>0</v>
      </c>
      <c r="S15" s="33">
        <f>IF(N15="MP",H15,0)</f>
        <v>0</v>
      </c>
      <c r="T15" s="33">
        <f>IF(N15="MP",I15-M15,0)</f>
        <v>0</v>
      </c>
      <c r="U15" s="33">
        <f>IF(N15="OM",H15,0)</f>
        <v>0</v>
      </c>
      <c r="V15" s="25"/>
      <c r="AF15" s="33">
        <f>SUM(W16:W19)</f>
        <v>0</v>
      </c>
      <c r="AG15" s="33">
        <f>SUM(X16:X19)</f>
        <v>0</v>
      </c>
      <c r="AH15" s="33">
        <f>SUM(Y16:Y19)</f>
        <v>0</v>
      </c>
    </row>
    <row r="16" spans="1:40" ht="12.75">
      <c r="A16" s="4" t="s">
        <v>8</v>
      </c>
      <c r="B16" s="4"/>
      <c r="C16" s="4" t="s">
        <v>55</v>
      </c>
      <c r="D16" s="4" t="s">
        <v>111</v>
      </c>
      <c r="E16" s="4" t="s">
        <v>167</v>
      </c>
      <c r="F16" s="17">
        <v>181.95</v>
      </c>
      <c r="G16" s="17"/>
      <c r="H16" s="17">
        <f>F16*AB16</f>
        <v>0</v>
      </c>
      <c r="I16" s="17">
        <f>J16-H16</f>
        <v>0</v>
      </c>
      <c r="J16" s="17">
        <f>F16*G16</f>
        <v>0</v>
      </c>
      <c r="K16" s="26" t="s">
        <v>6</v>
      </c>
      <c r="L16" s="17">
        <f>IF(K16="5",I16,0)</f>
        <v>0</v>
      </c>
      <c r="W16" s="17">
        <f>IF(AA16=0,J16,0)</f>
        <v>0</v>
      </c>
      <c r="X16" s="17">
        <f>IF(AA16=15,J16,0)</f>
        <v>0</v>
      </c>
      <c r="Y16" s="17">
        <f>IF(AA16=21,J16,0)</f>
        <v>0</v>
      </c>
      <c r="AA16" s="30">
        <v>21</v>
      </c>
      <c r="AB16" s="30">
        <f>G16*0</f>
        <v>0</v>
      </c>
      <c r="AC16" s="30">
        <f>G16*(1-0)</f>
        <v>0</v>
      </c>
      <c r="AJ16" s="30">
        <f>F16*AB16</f>
        <v>0</v>
      </c>
      <c r="AK16" s="30">
        <f>F16*AC16</f>
        <v>0</v>
      </c>
      <c r="AL16" s="31" t="s">
        <v>201</v>
      </c>
      <c r="AM16" s="31" t="s">
        <v>211</v>
      </c>
      <c r="AN16" s="25" t="s">
        <v>214</v>
      </c>
    </row>
    <row r="17" spans="1:40" ht="12.75">
      <c r="A17" s="4" t="s">
        <v>9</v>
      </c>
      <c r="B17" s="4"/>
      <c r="C17" s="4" t="s">
        <v>56</v>
      </c>
      <c r="D17" s="4" t="s">
        <v>112</v>
      </c>
      <c r="E17" s="4" t="s">
        <v>167</v>
      </c>
      <c r="F17" s="17">
        <v>299.96</v>
      </c>
      <c r="G17" s="17"/>
      <c r="H17" s="17">
        <f>F17*AB17</f>
        <v>0</v>
      </c>
      <c r="I17" s="17">
        <f>J17-H17</f>
        <v>0</v>
      </c>
      <c r="J17" s="17">
        <f>F17*G17</f>
        <v>0</v>
      </c>
      <c r="K17" s="26" t="s">
        <v>6</v>
      </c>
      <c r="L17" s="17">
        <f>IF(K17="5",I17,0)</f>
        <v>0</v>
      </c>
      <c r="W17" s="17">
        <f>IF(AA17=0,J17,0)</f>
        <v>0</v>
      </c>
      <c r="X17" s="17">
        <f>IF(AA17=15,J17,0)</f>
        <v>0</v>
      </c>
      <c r="Y17" s="17">
        <f>IF(AA17=21,J17,0)</f>
        <v>0</v>
      </c>
      <c r="AA17" s="30">
        <v>21</v>
      </c>
      <c r="AB17" s="30">
        <f>G17*0</f>
        <v>0</v>
      </c>
      <c r="AC17" s="30">
        <f>G17*(1-0)</f>
        <v>0</v>
      </c>
      <c r="AJ17" s="30">
        <f>F17*AB17</f>
        <v>0</v>
      </c>
      <c r="AK17" s="30">
        <f>F17*AC17</f>
        <v>0</v>
      </c>
      <c r="AL17" s="31" t="s">
        <v>201</v>
      </c>
      <c r="AM17" s="31" t="s">
        <v>211</v>
      </c>
      <c r="AN17" s="25" t="s">
        <v>214</v>
      </c>
    </row>
    <row r="18" spans="1:40" ht="12.75">
      <c r="A18" s="4" t="s">
        <v>10</v>
      </c>
      <c r="B18" s="4"/>
      <c r="C18" s="4" t="s">
        <v>57</v>
      </c>
      <c r="D18" s="4" t="s">
        <v>113</v>
      </c>
      <c r="E18" s="4" t="s">
        <v>167</v>
      </c>
      <c r="F18" s="17">
        <v>481.91</v>
      </c>
      <c r="G18" s="17"/>
      <c r="H18" s="17">
        <f>F18*AB18</f>
        <v>0</v>
      </c>
      <c r="I18" s="17">
        <f>J18-H18</f>
        <v>0</v>
      </c>
      <c r="J18" s="17">
        <f>F18*G18</f>
        <v>0</v>
      </c>
      <c r="K18" s="26" t="s">
        <v>8</v>
      </c>
      <c r="L18" s="17">
        <f>IF(K18="5",I18,0)</f>
        <v>0</v>
      </c>
      <c r="W18" s="17">
        <f>IF(AA18=0,J18,0)</f>
        <v>0</v>
      </c>
      <c r="X18" s="17">
        <f>IF(AA18=15,J18,0)</f>
        <v>0</v>
      </c>
      <c r="Y18" s="17">
        <f>IF(AA18=21,J18,0)</f>
        <v>0</v>
      </c>
      <c r="AA18" s="30">
        <v>21</v>
      </c>
      <c r="AB18" s="30">
        <f>G18*0.0494628231039251</f>
        <v>0</v>
      </c>
      <c r="AC18" s="30">
        <f>G18*(1-0.0494628231039251)</f>
        <v>0</v>
      </c>
      <c r="AJ18" s="30">
        <f>F18*AB18</f>
        <v>0</v>
      </c>
      <c r="AK18" s="30">
        <f>F18*AC18</f>
        <v>0</v>
      </c>
      <c r="AL18" s="31" t="s">
        <v>201</v>
      </c>
      <c r="AM18" s="31" t="s">
        <v>211</v>
      </c>
      <c r="AN18" s="25" t="s">
        <v>214</v>
      </c>
    </row>
    <row r="19" spans="1:40" ht="12.75">
      <c r="A19" s="4" t="s">
        <v>11</v>
      </c>
      <c r="B19" s="4"/>
      <c r="C19" s="4" t="s">
        <v>58</v>
      </c>
      <c r="D19" s="4" t="s">
        <v>114</v>
      </c>
      <c r="E19" s="4" t="s">
        <v>168</v>
      </c>
      <c r="F19" s="17">
        <v>349</v>
      </c>
      <c r="G19" s="17"/>
      <c r="H19" s="17">
        <f>F19*AB19</f>
        <v>0</v>
      </c>
      <c r="I19" s="17">
        <f>J19-H19</f>
        <v>0</v>
      </c>
      <c r="J19" s="17">
        <f>F19*G19</f>
        <v>0</v>
      </c>
      <c r="K19" s="26" t="s">
        <v>6</v>
      </c>
      <c r="L19" s="17">
        <f>IF(K19="5",I19,0)</f>
        <v>0</v>
      </c>
      <c r="W19" s="17">
        <f>IF(AA19=0,J19,0)</f>
        <v>0</v>
      </c>
      <c r="X19" s="17">
        <f>IF(AA19=15,J19,0)</f>
        <v>0</v>
      </c>
      <c r="Y19" s="17">
        <f>IF(AA19=21,J19,0)</f>
        <v>0</v>
      </c>
      <c r="AA19" s="30">
        <v>21</v>
      </c>
      <c r="AB19" s="30">
        <f>G19*0</f>
        <v>0</v>
      </c>
      <c r="AC19" s="30">
        <f>G19*(1-0)</f>
        <v>0</v>
      </c>
      <c r="AJ19" s="30">
        <f>F19*AB19</f>
        <v>0</v>
      </c>
      <c r="AK19" s="30">
        <f>F19*AC19</f>
        <v>0</v>
      </c>
      <c r="AL19" s="31" t="s">
        <v>201</v>
      </c>
      <c r="AM19" s="31" t="s">
        <v>211</v>
      </c>
      <c r="AN19" s="25" t="s">
        <v>214</v>
      </c>
    </row>
    <row r="20" spans="1:34" ht="12.75">
      <c r="A20" s="5"/>
      <c r="B20" s="13"/>
      <c r="C20" s="13" t="s">
        <v>22</v>
      </c>
      <c r="D20" s="112" t="s">
        <v>115</v>
      </c>
      <c r="E20" s="113"/>
      <c r="F20" s="113"/>
      <c r="G20" s="113"/>
      <c r="H20" s="33">
        <f>SUM(H21:H21)</f>
        <v>0</v>
      </c>
      <c r="I20" s="33">
        <f>SUM(I21:I21)</f>
        <v>0</v>
      </c>
      <c r="J20" s="33">
        <f>H20+I20</f>
        <v>0</v>
      </c>
      <c r="M20" s="33">
        <f>IF(N20="PR",J20,SUM(L21:L21))</f>
        <v>0</v>
      </c>
      <c r="N20" s="25" t="s">
        <v>191</v>
      </c>
      <c r="O20" s="33">
        <f>IF(N20="HS",H20,0)</f>
        <v>0</v>
      </c>
      <c r="P20" s="33">
        <f>IF(N20="HS",I20-M20,0)</f>
        <v>0</v>
      </c>
      <c r="Q20" s="33">
        <f>IF(N20="PS",H20,0)</f>
        <v>0</v>
      </c>
      <c r="R20" s="33">
        <f>IF(N20="PS",I20-M20,0)</f>
        <v>0</v>
      </c>
      <c r="S20" s="33">
        <f>IF(N20="MP",H20,0)</f>
        <v>0</v>
      </c>
      <c r="T20" s="33">
        <f>IF(N20="MP",I20-M20,0)</f>
        <v>0</v>
      </c>
      <c r="U20" s="33">
        <f>IF(N20="OM",H20,0)</f>
        <v>0</v>
      </c>
      <c r="V20" s="25"/>
      <c r="AF20" s="33">
        <f>SUM(W21:W21)</f>
        <v>0</v>
      </c>
      <c r="AG20" s="33">
        <f>SUM(X21:X21)</f>
        <v>0</v>
      </c>
      <c r="AH20" s="33">
        <f>SUM(Y21:Y21)</f>
        <v>0</v>
      </c>
    </row>
    <row r="21" spans="1:40" ht="12.75">
      <c r="A21" s="4" t="s">
        <v>12</v>
      </c>
      <c r="B21" s="4"/>
      <c r="C21" s="4" t="s">
        <v>59</v>
      </c>
      <c r="D21" s="4" t="s">
        <v>116</v>
      </c>
      <c r="E21" s="4" t="s">
        <v>169</v>
      </c>
      <c r="F21" s="17">
        <v>99.58</v>
      </c>
      <c r="G21" s="17"/>
      <c r="H21" s="17">
        <f>F21*AB21</f>
        <v>0</v>
      </c>
      <c r="I21" s="17">
        <f>J21-H21</f>
        <v>0</v>
      </c>
      <c r="J21" s="17">
        <f>F21*G21</f>
        <v>0</v>
      </c>
      <c r="K21" s="26" t="s">
        <v>6</v>
      </c>
      <c r="L21" s="17">
        <f>IF(K21="5",I21,0)</f>
        <v>0</v>
      </c>
      <c r="W21" s="17">
        <f>IF(AA21=0,J21,0)</f>
        <v>0</v>
      </c>
      <c r="X21" s="17">
        <f>IF(AA21=15,J21,0)</f>
        <v>0</v>
      </c>
      <c r="Y21" s="17">
        <f>IF(AA21=21,J21,0)</f>
        <v>0</v>
      </c>
      <c r="AA21" s="30">
        <v>21</v>
      </c>
      <c r="AB21" s="30">
        <f>G21*0</f>
        <v>0</v>
      </c>
      <c r="AC21" s="30">
        <f>G21*(1-0)</f>
        <v>0</v>
      </c>
      <c r="AJ21" s="30">
        <f>F21*AB21</f>
        <v>0</v>
      </c>
      <c r="AK21" s="30">
        <f>F21*AC21</f>
        <v>0</v>
      </c>
      <c r="AL21" s="31" t="s">
        <v>202</v>
      </c>
      <c r="AM21" s="31" t="s">
        <v>211</v>
      </c>
      <c r="AN21" s="25" t="s">
        <v>214</v>
      </c>
    </row>
    <row r="22" spans="1:34" ht="12.75">
      <c r="A22" s="5"/>
      <c r="B22" s="13"/>
      <c r="C22" s="13" t="s">
        <v>23</v>
      </c>
      <c r="D22" s="112" t="s">
        <v>117</v>
      </c>
      <c r="E22" s="113"/>
      <c r="F22" s="113"/>
      <c r="G22" s="113"/>
      <c r="H22" s="33">
        <f>SUM(H23:H25)</f>
        <v>0</v>
      </c>
      <c r="I22" s="33">
        <f>SUM(I23:I25)</f>
        <v>0</v>
      </c>
      <c r="J22" s="33">
        <f>H22+I22</f>
        <v>0</v>
      </c>
      <c r="M22" s="33">
        <f>IF(N22="PR",J22,SUM(L23:L25))</f>
        <v>0</v>
      </c>
      <c r="N22" s="25" t="s">
        <v>191</v>
      </c>
      <c r="O22" s="33">
        <f>IF(N22="HS",H22,0)</f>
        <v>0</v>
      </c>
      <c r="P22" s="33">
        <f>IF(N22="HS",I22-M22,0)</f>
        <v>0</v>
      </c>
      <c r="Q22" s="33">
        <f>IF(N22="PS",H22,0)</f>
        <v>0</v>
      </c>
      <c r="R22" s="33">
        <f>IF(N22="PS",I22-M22,0)</f>
        <v>0</v>
      </c>
      <c r="S22" s="33">
        <f>IF(N22="MP",H22,0)</f>
        <v>0</v>
      </c>
      <c r="T22" s="33">
        <f>IF(N22="MP",I22-M22,0)</f>
        <v>0</v>
      </c>
      <c r="U22" s="33">
        <f>IF(N22="OM",H22,0)</f>
        <v>0</v>
      </c>
      <c r="V22" s="25"/>
      <c r="AF22" s="33">
        <f>SUM(W23:W25)</f>
        <v>0</v>
      </c>
      <c r="AG22" s="33">
        <f>SUM(X23:X25)</f>
        <v>0</v>
      </c>
      <c r="AH22" s="33">
        <f>SUM(Y23:Y25)</f>
        <v>0</v>
      </c>
    </row>
    <row r="23" spans="1:40" ht="12.75">
      <c r="A23" s="4" t="s">
        <v>13</v>
      </c>
      <c r="B23" s="4"/>
      <c r="C23" s="4" t="s">
        <v>60</v>
      </c>
      <c r="D23" s="4" t="s">
        <v>118</v>
      </c>
      <c r="E23" s="4" t="s">
        <v>167</v>
      </c>
      <c r="F23" s="17">
        <v>421.91</v>
      </c>
      <c r="G23" s="17"/>
      <c r="H23" s="17">
        <f>F23*AB23</f>
        <v>0</v>
      </c>
      <c r="I23" s="17">
        <f>J23-H23</f>
        <v>0</v>
      </c>
      <c r="J23" s="17">
        <f>F23*G23</f>
        <v>0</v>
      </c>
      <c r="K23" s="26" t="s">
        <v>6</v>
      </c>
      <c r="L23" s="17">
        <f>IF(K23="5",I23,0)</f>
        <v>0</v>
      </c>
      <c r="W23" s="17">
        <f>IF(AA23=0,J23,0)</f>
        <v>0</v>
      </c>
      <c r="X23" s="17">
        <f>IF(AA23=15,J23,0)</f>
        <v>0</v>
      </c>
      <c r="Y23" s="17">
        <f>IF(AA23=21,J23,0)</f>
        <v>0</v>
      </c>
      <c r="AA23" s="30">
        <v>21</v>
      </c>
      <c r="AB23" s="30">
        <f>G23*0</f>
        <v>0</v>
      </c>
      <c r="AC23" s="30">
        <f>G23*(1-0)</f>
        <v>0</v>
      </c>
      <c r="AJ23" s="30">
        <f>F23*AB23</f>
        <v>0</v>
      </c>
      <c r="AK23" s="30">
        <f>F23*AC23</f>
        <v>0</v>
      </c>
      <c r="AL23" s="31" t="s">
        <v>203</v>
      </c>
      <c r="AM23" s="31" t="s">
        <v>211</v>
      </c>
      <c r="AN23" s="25" t="s">
        <v>214</v>
      </c>
    </row>
    <row r="24" spans="1:40" ht="12.75">
      <c r="A24" s="4" t="s">
        <v>14</v>
      </c>
      <c r="B24" s="4"/>
      <c r="C24" s="4" t="s">
        <v>61</v>
      </c>
      <c r="D24" s="4" t="s">
        <v>119</v>
      </c>
      <c r="E24" s="4" t="s">
        <v>167</v>
      </c>
      <c r="F24" s="17">
        <v>185.5</v>
      </c>
      <c r="G24" s="17"/>
      <c r="H24" s="17">
        <f>F24*AB24</f>
        <v>0</v>
      </c>
      <c r="I24" s="17">
        <f>J24-H24</f>
        <v>0</v>
      </c>
      <c r="J24" s="17">
        <f>F24*G24</f>
        <v>0</v>
      </c>
      <c r="K24" s="26" t="s">
        <v>6</v>
      </c>
      <c r="L24" s="17">
        <f>IF(K24="5",I24,0)</f>
        <v>0</v>
      </c>
      <c r="W24" s="17">
        <f>IF(AA24=0,J24,0)</f>
        <v>0</v>
      </c>
      <c r="X24" s="17">
        <f>IF(AA24=15,J24,0)</f>
        <v>0</v>
      </c>
      <c r="Y24" s="17">
        <f>IF(AA24=21,J24,0)</f>
        <v>0</v>
      </c>
      <c r="AA24" s="30">
        <v>21</v>
      </c>
      <c r="AB24" s="30">
        <f>G24*0.0671111111111111</f>
        <v>0</v>
      </c>
      <c r="AC24" s="30">
        <f>G24*(1-0.0671111111111111)</f>
        <v>0</v>
      </c>
      <c r="AJ24" s="30">
        <f>F24*AB24</f>
        <v>0</v>
      </c>
      <c r="AK24" s="30">
        <f>F24*AC24</f>
        <v>0</v>
      </c>
      <c r="AL24" s="31" t="s">
        <v>203</v>
      </c>
      <c r="AM24" s="31" t="s">
        <v>211</v>
      </c>
      <c r="AN24" s="25" t="s">
        <v>214</v>
      </c>
    </row>
    <row r="25" spans="1:40" ht="12.75">
      <c r="A25" s="6" t="s">
        <v>15</v>
      </c>
      <c r="B25" s="6"/>
      <c r="C25" s="6" t="s">
        <v>62</v>
      </c>
      <c r="D25" s="6" t="s">
        <v>120</v>
      </c>
      <c r="E25" s="6" t="s">
        <v>170</v>
      </c>
      <c r="F25" s="18">
        <v>10</v>
      </c>
      <c r="G25" s="18"/>
      <c r="H25" s="18">
        <f>F25*AB25</f>
        <v>0</v>
      </c>
      <c r="I25" s="18">
        <f>J25-H25</f>
        <v>0</v>
      </c>
      <c r="J25" s="18">
        <f>F25*G25</f>
        <v>0</v>
      </c>
      <c r="K25" s="27" t="s">
        <v>52</v>
      </c>
      <c r="L25" s="18">
        <f>IF(K25="5",I25,0)</f>
        <v>0</v>
      </c>
      <c r="W25" s="18">
        <f>IF(AA25=0,J25,0)</f>
        <v>0</v>
      </c>
      <c r="X25" s="18">
        <f>IF(AA25=15,J25,0)</f>
        <v>0</v>
      </c>
      <c r="Y25" s="18">
        <f>IF(AA25=21,J25,0)</f>
        <v>0</v>
      </c>
      <c r="AA25" s="30">
        <v>21</v>
      </c>
      <c r="AB25" s="30">
        <f>G25*1</f>
        <v>0</v>
      </c>
      <c r="AC25" s="30">
        <f>G25*(1-1)</f>
        <v>0</v>
      </c>
      <c r="AJ25" s="30">
        <f>F25*AB25</f>
        <v>0</v>
      </c>
      <c r="AK25" s="30">
        <f>F25*AC25</f>
        <v>0</v>
      </c>
      <c r="AL25" s="31" t="s">
        <v>203</v>
      </c>
      <c r="AM25" s="31" t="s">
        <v>211</v>
      </c>
      <c r="AN25" s="25" t="s">
        <v>214</v>
      </c>
    </row>
    <row r="26" spans="1:34" ht="12.75">
      <c r="A26" s="5"/>
      <c r="B26" s="13"/>
      <c r="C26" s="13" t="s">
        <v>63</v>
      </c>
      <c r="D26" s="112" t="s">
        <v>121</v>
      </c>
      <c r="E26" s="113"/>
      <c r="F26" s="113"/>
      <c r="G26" s="113"/>
      <c r="H26" s="33">
        <f>SUM(H27:H29)</f>
        <v>0</v>
      </c>
      <c r="I26" s="33">
        <f>SUM(I27:I29)</f>
        <v>0</v>
      </c>
      <c r="J26" s="33">
        <f>H26+I26</f>
        <v>0</v>
      </c>
      <c r="M26" s="33">
        <f>IF(N26="PR",J26,SUM(L27:L29))</f>
        <v>0</v>
      </c>
      <c r="N26" s="25" t="s">
        <v>191</v>
      </c>
      <c r="O26" s="33">
        <f>IF(N26="HS",H26,0)</f>
        <v>0</v>
      </c>
      <c r="P26" s="33">
        <f>IF(N26="HS",I26-M26,0)</f>
        <v>0</v>
      </c>
      <c r="Q26" s="33">
        <f>IF(N26="PS",H26,0)</f>
        <v>0</v>
      </c>
      <c r="R26" s="33">
        <f>IF(N26="PS",I26-M26,0)</f>
        <v>0</v>
      </c>
      <c r="S26" s="33">
        <f>IF(N26="MP",H26,0)</f>
        <v>0</v>
      </c>
      <c r="T26" s="33">
        <f>IF(N26="MP",I26-M26,0)</f>
        <v>0</v>
      </c>
      <c r="U26" s="33">
        <f>IF(N26="OM",H26,0)</f>
        <v>0</v>
      </c>
      <c r="V26" s="25"/>
      <c r="AF26" s="33">
        <f>SUM(W27:W29)</f>
        <v>0</v>
      </c>
      <c r="AG26" s="33">
        <f>SUM(X27:X29)</f>
        <v>0</v>
      </c>
      <c r="AH26" s="33">
        <f>SUM(Y27:Y29)</f>
        <v>0</v>
      </c>
    </row>
    <row r="27" spans="1:40" ht="12.75">
      <c r="A27" s="4" t="s">
        <v>16</v>
      </c>
      <c r="B27" s="4"/>
      <c r="C27" s="4" t="s">
        <v>64</v>
      </c>
      <c r="D27" s="4" t="s">
        <v>122</v>
      </c>
      <c r="E27" s="4" t="s">
        <v>167</v>
      </c>
      <c r="F27" s="17">
        <v>299.96</v>
      </c>
      <c r="G27" s="17"/>
      <c r="H27" s="17">
        <f>F27*AB27</f>
        <v>0</v>
      </c>
      <c r="I27" s="17">
        <f>J27-H27</f>
        <v>0</v>
      </c>
      <c r="J27" s="17">
        <f>F27*G27</f>
        <v>0</v>
      </c>
      <c r="K27" s="26" t="s">
        <v>6</v>
      </c>
      <c r="L27" s="17">
        <f>IF(K27="5",I27,0)</f>
        <v>0</v>
      </c>
      <c r="W27" s="17">
        <f>IF(AA27=0,J27,0)</f>
        <v>0</v>
      </c>
      <c r="X27" s="17">
        <f>IF(AA27=15,J27,0)</f>
        <v>0</v>
      </c>
      <c r="Y27" s="17">
        <f>IF(AA27=21,J27,0)</f>
        <v>0</v>
      </c>
      <c r="AA27" s="30">
        <v>21</v>
      </c>
      <c r="AB27" s="30">
        <f>G27*0.858611987381704</f>
        <v>0</v>
      </c>
      <c r="AC27" s="30">
        <f>G27*(1-0.858611987381704)</f>
        <v>0</v>
      </c>
      <c r="AJ27" s="30">
        <f>F27*AB27</f>
        <v>0</v>
      </c>
      <c r="AK27" s="30">
        <f>F27*AC27</f>
        <v>0</v>
      </c>
      <c r="AL27" s="31" t="s">
        <v>204</v>
      </c>
      <c r="AM27" s="31" t="s">
        <v>212</v>
      </c>
      <c r="AN27" s="25" t="s">
        <v>214</v>
      </c>
    </row>
    <row r="28" spans="1:40" ht="12.75">
      <c r="A28" s="4" t="s">
        <v>17</v>
      </c>
      <c r="B28" s="4"/>
      <c r="C28" s="4" t="s">
        <v>65</v>
      </c>
      <c r="D28" s="4" t="s">
        <v>123</v>
      </c>
      <c r="E28" s="4" t="s">
        <v>167</v>
      </c>
      <c r="F28" s="17">
        <v>60</v>
      </c>
      <c r="G28" s="17"/>
      <c r="H28" s="17">
        <f>F28*AB28</f>
        <v>0</v>
      </c>
      <c r="I28" s="17">
        <f>J28-H28</f>
        <v>0</v>
      </c>
      <c r="J28" s="17">
        <f>F28*G28</f>
        <v>0</v>
      </c>
      <c r="K28" s="26" t="s">
        <v>6</v>
      </c>
      <c r="L28" s="17">
        <f>IF(K28="5",I28,0)</f>
        <v>0</v>
      </c>
      <c r="W28" s="17">
        <f>IF(AA28=0,J28,0)</f>
        <v>0</v>
      </c>
      <c r="X28" s="17">
        <f>IF(AA28=15,J28,0)</f>
        <v>0</v>
      </c>
      <c r="Y28" s="17">
        <f>IF(AA28=21,J28,0)</f>
        <v>0</v>
      </c>
      <c r="AA28" s="30">
        <v>21</v>
      </c>
      <c r="AB28" s="30">
        <f>G28*0.868158400030418</f>
        <v>0</v>
      </c>
      <c r="AC28" s="30">
        <f>G28*(1-0.868158400030418)</f>
        <v>0</v>
      </c>
      <c r="AJ28" s="30">
        <f>F28*AB28</f>
        <v>0</v>
      </c>
      <c r="AK28" s="30">
        <f>F28*AC28</f>
        <v>0</v>
      </c>
      <c r="AL28" s="31" t="s">
        <v>204</v>
      </c>
      <c r="AM28" s="31" t="s">
        <v>212</v>
      </c>
      <c r="AN28" s="25" t="s">
        <v>214</v>
      </c>
    </row>
    <row r="29" spans="1:40" ht="12.75">
      <c r="A29" s="4" t="s">
        <v>18</v>
      </c>
      <c r="B29" s="4"/>
      <c r="C29" s="4" t="s">
        <v>64</v>
      </c>
      <c r="D29" s="4" t="s">
        <v>124</v>
      </c>
      <c r="E29" s="4" t="s">
        <v>167</v>
      </c>
      <c r="F29" s="17">
        <v>243.9</v>
      </c>
      <c r="G29" s="17"/>
      <c r="H29" s="17">
        <f>F29*AB29</f>
        <v>0</v>
      </c>
      <c r="I29" s="17">
        <f>J29-H29</f>
        <v>0</v>
      </c>
      <c r="J29" s="17">
        <f>F29*G29</f>
        <v>0</v>
      </c>
      <c r="K29" s="26" t="s">
        <v>6</v>
      </c>
      <c r="L29" s="17">
        <f>IF(K29="5",I29,0)</f>
        <v>0</v>
      </c>
      <c r="W29" s="17">
        <f>IF(AA29=0,J29,0)</f>
        <v>0</v>
      </c>
      <c r="X29" s="17">
        <f>IF(AA29=15,J29,0)</f>
        <v>0</v>
      </c>
      <c r="Y29" s="17">
        <f>IF(AA29=21,J29,0)</f>
        <v>0</v>
      </c>
      <c r="AA29" s="30">
        <v>21</v>
      </c>
      <c r="AB29" s="30">
        <f>G29*0.858611987381704</f>
        <v>0</v>
      </c>
      <c r="AC29" s="30">
        <f>G29*(1-0.858611987381704)</f>
        <v>0</v>
      </c>
      <c r="AJ29" s="30">
        <f>F29*AB29</f>
        <v>0</v>
      </c>
      <c r="AK29" s="30">
        <f>F29*AC29</f>
        <v>0</v>
      </c>
      <c r="AL29" s="31" t="s">
        <v>204</v>
      </c>
      <c r="AM29" s="31" t="s">
        <v>212</v>
      </c>
      <c r="AN29" s="25" t="s">
        <v>214</v>
      </c>
    </row>
    <row r="30" spans="1:34" ht="12.75">
      <c r="A30" s="5"/>
      <c r="B30" s="13"/>
      <c r="C30" s="13" t="s">
        <v>66</v>
      </c>
      <c r="D30" s="112" t="s">
        <v>125</v>
      </c>
      <c r="E30" s="113"/>
      <c r="F30" s="113"/>
      <c r="G30" s="113"/>
      <c r="H30" s="33">
        <f>SUM(H31:H33)</f>
        <v>0</v>
      </c>
      <c r="I30" s="33">
        <f>SUM(I31:I33)</f>
        <v>0</v>
      </c>
      <c r="J30" s="33">
        <f>H30+I30</f>
        <v>0</v>
      </c>
      <c r="M30" s="33">
        <f>IF(N30="PR",J30,SUM(L31:L33))</f>
        <v>0</v>
      </c>
      <c r="N30" s="25" t="s">
        <v>191</v>
      </c>
      <c r="O30" s="33">
        <f>IF(N30="HS",H30,0)</f>
        <v>0</v>
      </c>
      <c r="P30" s="33">
        <f>IF(N30="HS",I30-M30,0)</f>
        <v>0</v>
      </c>
      <c r="Q30" s="33">
        <f>IF(N30="PS",H30,0)</f>
        <v>0</v>
      </c>
      <c r="R30" s="33">
        <f>IF(N30="PS",I30-M30,0)</f>
        <v>0</v>
      </c>
      <c r="S30" s="33">
        <f>IF(N30="MP",H30,0)</f>
        <v>0</v>
      </c>
      <c r="T30" s="33">
        <f>IF(N30="MP",I30-M30,0)</f>
        <v>0</v>
      </c>
      <c r="U30" s="33">
        <f>IF(N30="OM",H30,0)</f>
        <v>0</v>
      </c>
      <c r="V30" s="25"/>
      <c r="AF30" s="33">
        <f>SUM(W31:W33)</f>
        <v>0</v>
      </c>
      <c r="AG30" s="33">
        <f>SUM(X31:X33)</f>
        <v>0</v>
      </c>
      <c r="AH30" s="33">
        <f>SUM(Y31:Y33)</f>
        <v>0</v>
      </c>
    </row>
    <row r="31" spans="1:40" ht="12.75">
      <c r="A31" s="4" t="s">
        <v>19</v>
      </c>
      <c r="B31" s="4"/>
      <c r="C31" s="4" t="s">
        <v>67</v>
      </c>
      <c r="D31" s="4" t="s">
        <v>126</v>
      </c>
      <c r="E31" s="4" t="s">
        <v>167</v>
      </c>
      <c r="F31" s="17">
        <v>60</v>
      </c>
      <c r="G31" s="17"/>
      <c r="H31" s="17">
        <f>F31*AB31</f>
        <v>0</v>
      </c>
      <c r="I31" s="17">
        <f>J31-H31</f>
        <v>0</v>
      </c>
      <c r="J31" s="17">
        <f>F31*G31</f>
        <v>0</v>
      </c>
      <c r="K31" s="26" t="s">
        <v>6</v>
      </c>
      <c r="L31" s="17">
        <f>IF(K31="5",I31,0)</f>
        <v>0</v>
      </c>
      <c r="W31" s="17">
        <f>IF(AA31=0,J31,0)</f>
        <v>0</v>
      </c>
      <c r="X31" s="17">
        <f>IF(AA31=15,J31,0)</f>
        <v>0</v>
      </c>
      <c r="Y31" s="17">
        <f>IF(AA31=21,J31,0)</f>
        <v>0</v>
      </c>
      <c r="AA31" s="30">
        <v>21</v>
      </c>
      <c r="AB31" s="30">
        <f>G31*0.936768149882904</f>
        <v>0</v>
      </c>
      <c r="AC31" s="30">
        <f>G31*(1-0.936768149882904)</f>
        <v>0</v>
      </c>
      <c r="AJ31" s="30">
        <f>F31*AB31</f>
        <v>0</v>
      </c>
      <c r="AK31" s="30">
        <f>F31*AC31</f>
        <v>0</v>
      </c>
      <c r="AL31" s="31" t="s">
        <v>205</v>
      </c>
      <c r="AM31" s="31" t="s">
        <v>212</v>
      </c>
      <c r="AN31" s="25" t="s">
        <v>214</v>
      </c>
    </row>
    <row r="32" spans="1:40" ht="12.75">
      <c r="A32" s="4" t="s">
        <v>20</v>
      </c>
      <c r="B32" s="4"/>
      <c r="C32" s="4" t="s">
        <v>68</v>
      </c>
      <c r="D32" s="4" t="s">
        <v>127</v>
      </c>
      <c r="E32" s="4" t="s">
        <v>167</v>
      </c>
      <c r="F32" s="17">
        <v>60</v>
      </c>
      <c r="G32" s="17"/>
      <c r="H32" s="17">
        <f>F32*AB32</f>
        <v>0</v>
      </c>
      <c r="I32" s="17">
        <f>J32-H32</f>
        <v>0</v>
      </c>
      <c r="J32" s="17">
        <f>F32*G32</f>
        <v>0</v>
      </c>
      <c r="K32" s="26" t="s">
        <v>6</v>
      </c>
      <c r="L32" s="17">
        <f>IF(K32="5",I32,0)</f>
        <v>0</v>
      </c>
      <c r="W32" s="17">
        <f>IF(AA32=0,J32,0)</f>
        <v>0</v>
      </c>
      <c r="X32" s="17">
        <f>IF(AA32=15,J32,0)</f>
        <v>0</v>
      </c>
      <c r="Y32" s="17">
        <f>IF(AA32=21,J32,0)</f>
        <v>0</v>
      </c>
      <c r="AA32" s="30">
        <v>21</v>
      </c>
      <c r="AB32" s="30">
        <f>G32*0.870839718652992</f>
        <v>0</v>
      </c>
      <c r="AC32" s="30">
        <f>G32*(1-0.870839718652992)</f>
        <v>0</v>
      </c>
      <c r="AJ32" s="30">
        <f>F32*AB32</f>
        <v>0</v>
      </c>
      <c r="AK32" s="30">
        <f>F32*AC32</f>
        <v>0</v>
      </c>
      <c r="AL32" s="31" t="s">
        <v>205</v>
      </c>
      <c r="AM32" s="31" t="s">
        <v>212</v>
      </c>
      <c r="AN32" s="25" t="s">
        <v>214</v>
      </c>
    </row>
    <row r="33" spans="1:40" ht="12.75">
      <c r="A33" s="4" t="s">
        <v>21</v>
      </c>
      <c r="B33" s="4"/>
      <c r="C33" s="4" t="s">
        <v>69</v>
      </c>
      <c r="D33" s="4" t="s">
        <v>128</v>
      </c>
      <c r="E33" s="4" t="s">
        <v>167</v>
      </c>
      <c r="F33" s="17">
        <v>120</v>
      </c>
      <c r="G33" s="17"/>
      <c r="H33" s="17">
        <f>F33*AB33</f>
        <v>0</v>
      </c>
      <c r="I33" s="17">
        <f>J33-H33</f>
        <v>0</v>
      </c>
      <c r="J33" s="17">
        <f>F33*G33</f>
        <v>0</v>
      </c>
      <c r="K33" s="26" t="s">
        <v>6</v>
      </c>
      <c r="L33" s="17">
        <f>IF(K33="5",I33,0)</f>
        <v>0</v>
      </c>
      <c r="W33" s="17">
        <f>IF(AA33=0,J33,0)</f>
        <v>0</v>
      </c>
      <c r="X33" s="17">
        <f>IF(AA33=15,J33,0)</f>
        <v>0</v>
      </c>
      <c r="Y33" s="17">
        <f>IF(AA33=21,J33,0)</f>
        <v>0</v>
      </c>
      <c r="AA33" s="30">
        <v>21</v>
      </c>
      <c r="AB33" s="30">
        <f>G33*0</f>
        <v>0</v>
      </c>
      <c r="AC33" s="30">
        <f>G33*(1-0)</f>
        <v>0</v>
      </c>
      <c r="AJ33" s="30">
        <f>F33*AB33</f>
        <v>0</v>
      </c>
      <c r="AK33" s="30">
        <f>F33*AC33</f>
        <v>0</v>
      </c>
      <c r="AL33" s="31" t="s">
        <v>205</v>
      </c>
      <c r="AM33" s="31" t="s">
        <v>212</v>
      </c>
      <c r="AN33" s="25" t="s">
        <v>214</v>
      </c>
    </row>
    <row r="34" spans="1:34" ht="12.75">
      <c r="A34" s="5"/>
      <c r="B34" s="13"/>
      <c r="C34" s="13" t="s">
        <v>70</v>
      </c>
      <c r="D34" s="112" t="s">
        <v>129</v>
      </c>
      <c r="E34" s="113"/>
      <c r="F34" s="113"/>
      <c r="G34" s="113"/>
      <c r="H34" s="33">
        <f>SUM(H35:H40)</f>
        <v>0</v>
      </c>
      <c r="I34" s="33">
        <f>SUM(I35:I40)</f>
        <v>0</v>
      </c>
      <c r="J34" s="33">
        <f>H34+I34</f>
        <v>0</v>
      </c>
      <c r="M34" s="33">
        <f>IF(N34="PR",J34,SUM(L35:L40))</f>
        <v>0</v>
      </c>
      <c r="N34" s="25" t="s">
        <v>191</v>
      </c>
      <c r="O34" s="33">
        <f>IF(N34="HS",H34,0)</f>
        <v>0</v>
      </c>
      <c r="P34" s="33">
        <f>IF(N34="HS",I34-M34,0)</f>
        <v>0</v>
      </c>
      <c r="Q34" s="33">
        <f>IF(N34="PS",H34,0)</f>
        <v>0</v>
      </c>
      <c r="R34" s="33">
        <f>IF(N34="PS",I34-M34,0)</f>
        <v>0</v>
      </c>
      <c r="S34" s="33">
        <f>IF(N34="MP",H34,0)</f>
        <v>0</v>
      </c>
      <c r="T34" s="33">
        <f>IF(N34="MP",I34-M34,0)</f>
        <v>0</v>
      </c>
      <c r="U34" s="33">
        <f>IF(N34="OM",H34,0)</f>
        <v>0</v>
      </c>
      <c r="V34" s="25"/>
      <c r="AF34" s="33">
        <f>SUM(W35:W40)</f>
        <v>0</v>
      </c>
      <c r="AG34" s="33">
        <f>SUM(X35:X40)</f>
        <v>0</v>
      </c>
      <c r="AH34" s="33">
        <f>SUM(Y35:Y40)</f>
        <v>0</v>
      </c>
    </row>
    <row r="35" spans="1:40" ht="12.75">
      <c r="A35" s="4" t="s">
        <v>22</v>
      </c>
      <c r="B35" s="4"/>
      <c r="C35" s="4" t="s">
        <v>71</v>
      </c>
      <c r="D35" s="4" t="s">
        <v>130</v>
      </c>
      <c r="E35" s="4" t="s">
        <v>167</v>
      </c>
      <c r="F35" s="17">
        <v>299.96</v>
      </c>
      <c r="G35" s="17"/>
      <c r="H35" s="17">
        <f aca="true" t="shared" si="0" ref="H35:H40">F35*AB35</f>
        <v>0</v>
      </c>
      <c r="I35" s="17">
        <f aca="true" t="shared" si="1" ref="I35:I40">J35-H35</f>
        <v>0</v>
      </c>
      <c r="J35" s="17">
        <f aca="true" t="shared" si="2" ref="J35:J40">F35*G35</f>
        <v>0</v>
      </c>
      <c r="K35" s="26" t="s">
        <v>6</v>
      </c>
      <c r="L35" s="17">
        <f aca="true" t="shared" si="3" ref="L35:L40">IF(K35="5",I35,0)</f>
        <v>0</v>
      </c>
      <c r="W35" s="17">
        <f aca="true" t="shared" si="4" ref="W35:W40">IF(AA35=0,J35,0)</f>
        <v>0</v>
      </c>
      <c r="X35" s="17">
        <f aca="true" t="shared" si="5" ref="X35:X40">IF(AA35=15,J35,0)</f>
        <v>0</v>
      </c>
      <c r="Y35" s="17">
        <f aca="true" t="shared" si="6" ref="Y35:Y40">IF(AA35=21,J35,0)</f>
        <v>0</v>
      </c>
      <c r="AA35" s="30">
        <v>21</v>
      </c>
      <c r="AB35" s="30">
        <f>G35*0.201836314706348</f>
        <v>0</v>
      </c>
      <c r="AC35" s="30">
        <f>G35*(1-0.201836314706348)</f>
        <v>0</v>
      </c>
      <c r="AJ35" s="30">
        <f aca="true" t="shared" si="7" ref="AJ35:AJ40">F35*AB35</f>
        <v>0</v>
      </c>
      <c r="AK35" s="30">
        <f aca="true" t="shared" si="8" ref="AK35:AK40">F35*AC35</f>
        <v>0</v>
      </c>
      <c r="AL35" s="31" t="s">
        <v>206</v>
      </c>
      <c r="AM35" s="31" t="s">
        <v>212</v>
      </c>
      <c r="AN35" s="25" t="s">
        <v>214</v>
      </c>
    </row>
    <row r="36" spans="1:40" ht="12.75">
      <c r="A36" s="6" t="s">
        <v>23</v>
      </c>
      <c r="B36" s="6"/>
      <c r="C36" s="6" t="s">
        <v>72</v>
      </c>
      <c r="D36" s="6" t="s">
        <v>131</v>
      </c>
      <c r="E36" s="6" t="s">
        <v>167</v>
      </c>
      <c r="F36" s="18">
        <v>297.36</v>
      </c>
      <c r="G36" s="18"/>
      <c r="H36" s="18">
        <f t="shared" si="0"/>
        <v>0</v>
      </c>
      <c r="I36" s="18">
        <f t="shared" si="1"/>
        <v>0</v>
      </c>
      <c r="J36" s="18">
        <f t="shared" si="2"/>
        <v>0</v>
      </c>
      <c r="K36" s="27" t="s">
        <v>52</v>
      </c>
      <c r="L36" s="18">
        <f t="shared" si="3"/>
        <v>0</v>
      </c>
      <c r="W36" s="18">
        <f t="shared" si="4"/>
        <v>0</v>
      </c>
      <c r="X36" s="18">
        <f t="shared" si="5"/>
        <v>0</v>
      </c>
      <c r="Y36" s="18">
        <f t="shared" si="6"/>
        <v>0</v>
      </c>
      <c r="AA36" s="30">
        <v>21</v>
      </c>
      <c r="AB36" s="30">
        <f>G36*1</f>
        <v>0</v>
      </c>
      <c r="AC36" s="30">
        <f>G36*(1-1)</f>
        <v>0</v>
      </c>
      <c r="AJ36" s="30">
        <f t="shared" si="7"/>
        <v>0</v>
      </c>
      <c r="AK36" s="30">
        <f t="shared" si="8"/>
        <v>0</v>
      </c>
      <c r="AL36" s="31" t="s">
        <v>206</v>
      </c>
      <c r="AM36" s="31" t="s">
        <v>212</v>
      </c>
      <c r="AN36" s="25" t="s">
        <v>214</v>
      </c>
    </row>
    <row r="37" spans="1:40" ht="12.75">
      <c r="A37" s="6" t="s">
        <v>24</v>
      </c>
      <c r="B37" s="6"/>
      <c r="C37" s="6" t="s">
        <v>73</v>
      </c>
      <c r="D37" s="6" t="s">
        <v>132</v>
      </c>
      <c r="E37" s="6" t="s">
        <v>167</v>
      </c>
      <c r="F37" s="18">
        <v>2.6</v>
      </c>
      <c r="G37" s="18"/>
      <c r="H37" s="18">
        <f t="shared" si="0"/>
        <v>0</v>
      </c>
      <c r="I37" s="18">
        <f t="shared" si="1"/>
        <v>0</v>
      </c>
      <c r="J37" s="18">
        <f t="shared" si="2"/>
        <v>0</v>
      </c>
      <c r="K37" s="27" t="s">
        <v>52</v>
      </c>
      <c r="L37" s="18">
        <f t="shared" si="3"/>
        <v>0</v>
      </c>
      <c r="W37" s="18">
        <f t="shared" si="4"/>
        <v>0</v>
      </c>
      <c r="X37" s="18">
        <f t="shared" si="5"/>
        <v>0</v>
      </c>
      <c r="Y37" s="18">
        <f t="shared" si="6"/>
        <v>0</v>
      </c>
      <c r="AA37" s="30">
        <v>21</v>
      </c>
      <c r="AB37" s="30">
        <f>G37*1</f>
        <v>0</v>
      </c>
      <c r="AC37" s="30">
        <f>G37*(1-1)</f>
        <v>0</v>
      </c>
      <c r="AJ37" s="30">
        <f t="shared" si="7"/>
        <v>0</v>
      </c>
      <c r="AK37" s="30">
        <f t="shared" si="8"/>
        <v>0</v>
      </c>
      <c r="AL37" s="31" t="s">
        <v>206</v>
      </c>
      <c r="AM37" s="31" t="s">
        <v>212</v>
      </c>
      <c r="AN37" s="25" t="s">
        <v>214</v>
      </c>
    </row>
    <row r="38" spans="1:40" ht="12.75">
      <c r="A38" s="4" t="s">
        <v>25</v>
      </c>
      <c r="B38" s="4"/>
      <c r="C38" s="4" t="s">
        <v>74</v>
      </c>
      <c r="D38" s="4" t="s">
        <v>133</v>
      </c>
      <c r="E38" s="4" t="s">
        <v>167</v>
      </c>
      <c r="F38" s="17">
        <v>121.95</v>
      </c>
      <c r="G38" s="17"/>
      <c r="H38" s="17">
        <f t="shared" si="0"/>
        <v>0</v>
      </c>
      <c r="I38" s="17">
        <f t="shared" si="1"/>
        <v>0</v>
      </c>
      <c r="J38" s="17">
        <f t="shared" si="2"/>
        <v>0</v>
      </c>
      <c r="K38" s="26" t="s">
        <v>6</v>
      </c>
      <c r="L38" s="17">
        <f t="shared" si="3"/>
        <v>0</v>
      </c>
      <c r="W38" s="17">
        <f t="shared" si="4"/>
        <v>0</v>
      </c>
      <c r="X38" s="17">
        <f t="shared" si="5"/>
        <v>0</v>
      </c>
      <c r="Y38" s="17">
        <f t="shared" si="6"/>
        <v>0</v>
      </c>
      <c r="AA38" s="30">
        <v>21</v>
      </c>
      <c r="AB38" s="30">
        <f>G38*0.19173893428242</f>
        <v>0</v>
      </c>
      <c r="AC38" s="30">
        <f>G38*(1-0.19173893428242)</f>
        <v>0</v>
      </c>
      <c r="AJ38" s="30">
        <f t="shared" si="7"/>
        <v>0</v>
      </c>
      <c r="AK38" s="30">
        <f t="shared" si="8"/>
        <v>0</v>
      </c>
      <c r="AL38" s="31" t="s">
        <v>206</v>
      </c>
      <c r="AM38" s="31" t="s">
        <v>212</v>
      </c>
      <c r="AN38" s="25" t="s">
        <v>214</v>
      </c>
    </row>
    <row r="39" spans="1:40" ht="12.75">
      <c r="A39" s="6" t="s">
        <v>26</v>
      </c>
      <c r="B39" s="6"/>
      <c r="C39" s="6" t="s">
        <v>75</v>
      </c>
      <c r="D39" s="6" t="s">
        <v>134</v>
      </c>
      <c r="E39" s="6" t="s">
        <v>167</v>
      </c>
      <c r="F39" s="18">
        <v>100.2</v>
      </c>
      <c r="G39" s="18"/>
      <c r="H39" s="18">
        <f t="shared" si="0"/>
        <v>0</v>
      </c>
      <c r="I39" s="18">
        <f t="shared" si="1"/>
        <v>0</v>
      </c>
      <c r="J39" s="18">
        <f t="shared" si="2"/>
        <v>0</v>
      </c>
      <c r="K39" s="27" t="s">
        <v>52</v>
      </c>
      <c r="L39" s="18">
        <f t="shared" si="3"/>
        <v>0</v>
      </c>
      <c r="W39" s="18">
        <f t="shared" si="4"/>
        <v>0</v>
      </c>
      <c r="X39" s="18">
        <f t="shared" si="5"/>
        <v>0</v>
      </c>
      <c r="Y39" s="18">
        <f t="shared" si="6"/>
        <v>0</v>
      </c>
      <c r="AA39" s="30">
        <v>21</v>
      </c>
      <c r="AB39" s="30">
        <f>G39*1</f>
        <v>0</v>
      </c>
      <c r="AC39" s="30">
        <f>G39*(1-1)</f>
        <v>0</v>
      </c>
      <c r="AJ39" s="30">
        <f t="shared" si="7"/>
        <v>0</v>
      </c>
      <c r="AK39" s="30">
        <f t="shared" si="8"/>
        <v>0</v>
      </c>
      <c r="AL39" s="31" t="s">
        <v>206</v>
      </c>
      <c r="AM39" s="31" t="s">
        <v>212</v>
      </c>
      <c r="AN39" s="25" t="s">
        <v>214</v>
      </c>
    </row>
    <row r="40" spans="1:40" ht="12.75">
      <c r="A40" s="6" t="s">
        <v>27</v>
      </c>
      <c r="B40" s="6"/>
      <c r="C40" s="6" t="s">
        <v>76</v>
      </c>
      <c r="D40" s="6" t="s">
        <v>135</v>
      </c>
      <c r="E40" s="6" t="s">
        <v>167</v>
      </c>
      <c r="F40" s="18">
        <v>21.75</v>
      </c>
      <c r="G40" s="18"/>
      <c r="H40" s="18">
        <f t="shared" si="0"/>
        <v>0</v>
      </c>
      <c r="I40" s="18">
        <f t="shared" si="1"/>
        <v>0</v>
      </c>
      <c r="J40" s="18">
        <f t="shared" si="2"/>
        <v>0</v>
      </c>
      <c r="K40" s="27" t="s">
        <v>52</v>
      </c>
      <c r="L40" s="18">
        <f t="shared" si="3"/>
        <v>0</v>
      </c>
      <c r="W40" s="18">
        <f t="shared" si="4"/>
        <v>0</v>
      </c>
      <c r="X40" s="18">
        <f t="shared" si="5"/>
        <v>0</v>
      </c>
      <c r="Y40" s="18">
        <f t="shared" si="6"/>
        <v>0</v>
      </c>
      <c r="AA40" s="30">
        <v>21</v>
      </c>
      <c r="AB40" s="30">
        <f>G40*1</f>
        <v>0</v>
      </c>
      <c r="AC40" s="30">
        <f>G40*(1-1)</f>
        <v>0</v>
      </c>
      <c r="AJ40" s="30">
        <f t="shared" si="7"/>
        <v>0</v>
      </c>
      <c r="AK40" s="30">
        <f t="shared" si="8"/>
        <v>0</v>
      </c>
      <c r="AL40" s="31" t="s">
        <v>206</v>
      </c>
      <c r="AM40" s="31" t="s">
        <v>212</v>
      </c>
      <c r="AN40" s="25" t="s">
        <v>214</v>
      </c>
    </row>
    <row r="41" spans="1:34" ht="12.75">
      <c r="A41" s="5"/>
      <c r="B41" s="13"/>
      <c r="C41" s="13" t="s">
        <v>77</v>
      </c>
      <c r="D41" s="112" t="s">
        <v>136</v>
      </c>
      <c r="E41" s="113"/>
      <c r="F41" s="113"/>
      <c r="G41" s="113"/>
      <c r="H41" s="33">
        <f>SUM(H42:H48)</f>
        <v>0</v>
      </c>
      <c r="I41" s="33">
        <f>SUM(I42:I48)</f>
        <v>0</v>
      </c>
      <c r="J41" s="33">
        <f>H41+I41</f>
        <v>0</v>
      </c>
      <c r="M41" s="33">
        <f>IF(N41="PR",J41,SUM(L42:L48))</f>
        <v>0</v>
      </c>
      <c r="N41" s="25" t="s">
        <v>191</v>
      </c>
      <c r="O41" s="33">
        <f>IF(N41="HS",H41,0)</f>
        <v>0</v>
      </c>
      <c r="P41" s="33">
        <f>IF(N41="HS",I41-M41,0)</f>
        <v>0</v>
      </c>
      <c r="Q41" s="33">
        <f>IF(N41="PS",H41,0)</f>
        <v>0</v>
      </c>
      <c r="R41" s="33">
        <f>IF(N41="PS",I41-M41,0)</f>
        <v>0</v>
      </c>
      <c r="S41" s="33">
        <f>IF(N41="MP",H41,0)</f>
        <v>0</v>
      </c>
      <c r="T41" s="33">
        <f>IF(N41="MP",I41-M41,0)</f>
        <v>0</v>
      </c>
      <c r="U41" s="33">
        <f>IF(N41="OM",H41,0)</f>
        <v>0</v>
      </c>
      <c r="V41" s="25"/>
      <c r="AF41" s="33">
        <f>SUM(W42:W48)</f>
        <v>0</v>
      </c>
      <c r="AG41" s="33">
        <f>SUM(X42:X48)</f>
        <v>0</v>
      </c>
      <c r="AH41" s="33">
        <f>SUM(Y42:Y48)</f>
        <v>0</v>
      </c>
    </row>
    <row r="42" spans="1:40" ht="12.75">
      <c r="A42" s="4" t="s">
        <v>28</v>
      </c>
      <c r="B42" s="4"/>
      <c r="C42" s="4" t="s">
        <v>78</v>
      </c>
      <c r="D42" s="4" t="s">
        <v>137</v>
      </c>
      <c r="E42" s="4" t="s">
        <v>168</v>
      </c>
      <c r="F42" s="17">
        <v>349</v>
      </c>
      <c r="G42" s="17"/>
      <c r="H42" s="17">
        <f aca="true" t="shared" si="9" ref="H42:H48">F42*AB42</f>
        <v>0</v>
      </c>
      <c r="I42" s="17">
        <f aca="true" t="shared" si="10" ref="I42:I48">J42-H42</f>
        <v>0</v>
      </c>
      <c r="J42" s="17">
        <f aca="true" t="shared" si="11" ref="J42:J48">F42*G42</f>
        <v>0</v>
      </c>
      <c r="K42" s="26" t="s">
        <v>6</v>
      </c>
      <c r="L42" s="17">
        <f aca="true" t="shared" si="12" ref="L42:L48">IF(K42="5",I42,0)</f>
        <v>0</v>
      </c>
      <c r="W42" s="17">
        <f aca="true" t="shared" si="13" ref="W42:W48">IF(AA42=0,J42,0)</f>
        <v>0</v>
      </c>
      <c r="X42" s="17">
        <f aca="true" t="shared" si="14" ref="X42:X48">IF(AA42=15,J42,0)</f>
        <v>0</v>
      </c>
      <c r="Y42" s="17">
        <f aca="true" t="shared" si="15" ref="Y42:Y48">IF(AA42=21,J42,0)</f>
        <v>0</v>
      </c>
      <c r="AA42" s="30">
        <v>21</v>
      </c>
      <c r="AB42" s="30">
        <f>G42*0.578820091692277</f>
        <v>0</v>
      </c>
      <c r="AC42" s="30">
        <f>G42*(1-0.578820091692277)</f>
        <v>0</v>
      </c>
      <c r="AJ42" s="30">
        <f aca="true" t="shared" si="16" ref="AJ42:AJ48">F42*AB42</f>
        <v>0</v>
      </c>
      <c r="AK42" s="30">
        <f aca="true" t="shared" si="17" ref="AK42:AK48">F42*AC42</f>
        <v>0</v>
      </c>
      <c r="AL42" s="31" t="s">
        <v>207</v>
      </c>
      <c r="AM42" s="31" t="s">
        <v>213</v>
      </c>
      <c r="AN42" s="25" t="s">
        <v>214</v>
      </c>
    </row>
    <row r="43" spans="1:40" ht="12.75">
      <c r="A43" s="6" t="s">
        <v>29</v>
      </c>
      <c r="B43" s="6"/>
      <c r="C43" s="6" t="s">
        <v>79</v>
      </c>
      <c r="D43" s="6" t="s">
        <v>138</v>
      </c>
      <c r="E43" s="6" t="s">
        <v>171</v>
      </c>
      <c r="F43" s="18">
        <v>138</v>
      </c>
      <c r="G43" s="18"/>
      <c r="H43" s="18">
        <f t="shared" si="9"/>
        <v>0</v>
      </c>
      <c r="I43" s="18">
        <f t="shared" si="10"/>
        <v>0</v>
      </c>
      <c r="J43" s="18">
        <f t="shared" si="11"/>
        <v>0</v>
      </c>
      <c r="K43" s="27" t="s">
        <v>52</v>
      </c>
      <c r="L43" s="18">
        <f t="shared" si="12"/>
        <v>0</v>
      </c>
      <c r="W43" s="18">
        <f t="shared" si="13"/>
        <v>0</v>
      </c>
      <c r="X43" s="18">
        <f t="shared" si="14"/>
        <v>0</v>
      </c>
      <c r="Y43" s="18">
        <f t="shared" si="15"/>
        <v>0</v>
      </c>
      <c r="AA43" s="30">
        <v>21</v>
      </c>
      <c r="AB43" s="30">
        <f>G43*1</f>
        <v>0</v>
      </c>
      <c r="AC43" s="30">
        <f>G43*(1-1)</f>
        <v>0</v>
      </c>
      <c r="AJ43" s="30">
        <f t="shared" si="16"/>
        <v>0</v>
      </c>
      <c r="AK43" s="30">
        <f t="shared" si="17"/>
        <v>0</v>
      </c>
      <c r="AL43" s="31" t="s">
        <v>207</v>
      </c>
      <c r="AM43" s="31" t="s">
        <v>213</v>
      </c>
      <c r="AN43" s="25" t="s">
        <v>214</v>
      </c>
    </row>
    <row r="44" spans="1:40" ht="12.75">
      <c r="A44" s="6" t="s">
        <v>30</v>
      </c>
      <c r="B44" s="6"/>
      <c r="C44" s="6" t="s">
        <v>80</v>
      </c>
      <c r="D44" s="6" t="s">
        <v>139</v>
      </c>
      <c r="E44" s="6" t="s">
        <v>171</v>
      </c>
      <c r="F44" s="18">
        <v>10</v>
      </c>
      <c r="G44" s="18"/>
      <c r="H44" s="18">
        <f t="shared" si="9"/>
        <v>0</v>
      </c>
      <c r="I44" s="18">
        <f t="shared" si="10"/>
        <v>0</v>
      </c>
      <c r="J44" s="18">
        <f t="shared" si="11"/>
        <v>0</v>
      </c>
      <c r="K44" s="27" t="s">
        <v>52</v>
      </c>
      <c r="L44" s="18">
        <f t="shared" si="12"/>
        <v>0</v>
      </c>
      <c r="W44" s="18">
        <f t="shared" si="13"/>
        <v>0</v>
      </c>
      <c r="X44" s="18">
        <f t="shared" si="14"/>
        <v>0</v>
      </c>
      <c r="Y44" s="18">
        <f t="shared" si="15"/>
        <v>0</v>
      </c>
      <c r="AA44" s="30">
        <v>21</v>
      </c>
      <c r="AB44" s="30">
        <f>G44*1</f>
        <v>0</v>
      </c>
      <c r="AC44" s="30">
        <f>G44*(1-1)</f>
        <v>0</v>
      </c>
      <c r="AJ44" s="30">
        <f t="shared" si="16"/>
        <v>0</v>
      </c>
      <c r="AK44" s="30">
        <f t="shared" si="17"/>
        <v>0</v>
      </c>
      <c r="AL44" s="31" t="s">
        <v>207</v>
      </c>
      <c r="AM44" s="31" t="s">
        <v>213</v>
      </c>
      <c r="AN44" s="25" t="s">
        <v>214</v>
      </c>
    </row>
    <row r="45" spans="1:40" ht="12.75">
      <c r="A45" s="6" t="s">
        <v>31</v>
      </c>
      <c r="B45" s="6"/>
      <c r="C45" s="6" t="s">
        <v>81</v>
      </c>
      <c r="D45" s="6" t="s">
        <v>140</v>
      </c>
      <c r="E45" s="6" t="s">
        <v>171</v>
      </c>
      <c r="F45" s="18">
        <v>10</v>
      </c>
      <c r="G45" s="18"/>
      <c r="H45" s="18">
        <f t="shared" si="9"/>
        <v>0</v>
      </c>
      <c r="I45" s="18">
        <f t="shared" si="10"/>
        <v>0</v>
      </c>
      <c r="J45" s="18">
        <f t="shared" si="11"/>
        <v>0</v>
      </c>
      <c r="K45" s="27" t="s">
        <v>52</v>
      </c>
      <c r="L45" s="18">
        <f t="shared" si="12"/>
        <v>0</v>
      </c>
      <c r="W45" s="18">
        <f t="shared" si="13"/>
        <v>0</v>
      </c>
      <c r="X45" s="18">
        <f t="shared" si="14"/>
        <v>0</v>
      </c>
      <c r="Y45" s="18">
        <f t="shared" si="15"/>
        <v>0</v>
      </c>
      <c r="AA45" s="30">
        <v>21</v>
      </c>
      <c r="AB45" s="30">
        <f>G45*1</f>
        <v>0</v>
      </c>
      <c r="AC45" s="30">
        <f>G45*(1-1)</f>
        <v>0</v>
      </c>
      <c r="AJ45" s="30">
        <f t="shared" si="16"/>
        <v>0</v>
      </c>
      <c r="AK45" s="30">
        <f t="shared" si="17"/>
        <v>0</v>
      </c>
      <c r="AL45" s="31" t="s">
        <v>207</v>
      </c>
      <c r="AM45" s="31" t="s">
        <v>213</v>
      </c>
      <c r="AN45" s="25" t="s">
        <v>214</v>
      </c>
    </row>
    <row r="46" spans="1:40" ht="12.75">
      <c r="A46" s="6" t="s">
        <v>32</v>
      </c>
      <c r="B46" s="6"/>
      <c r="C46" s="6" t="s">
        <v>82</v>
      </c>
      <c r="D46" s="6" t="s">
        <v>141</v>
      </c>
      <c r="E46" s="6" t="s">
        <v>171</v>
      </c>
      <c r="F46" s="18">
        <v>149</v>
      </c>
      <c r="G46" s="18"/>
      <c r="H46" s="18">
        <f t="shared" si="9"/>
        <v>0</v>
      </c>
      <c r="I46" s="18">
        <f t="shared" si="10"/>
        <v>0</v>
      </c>
      <c r="J46" s="18">
        <f t="shared" si="11"/>
        <v>0</v>
      </c>
      <c r="K46" s="27" t="s">
        <v>52</v>
      </c>
      <c r="L46" s="18">
        <f t="shared" si="12"/>
        <v>0</v>
      </c>
      <c r="W46" s="18">
        <f t="shared" si="13"/>
        <v>0</v>
      </c>
      <c r="X46" s="18">
        <f t="shared" si="14"/>
        <v>0</v>
      </c>
      <c r="Y46" s="18">
        <f t="shared" si="15"/>
        <v>0</v>
      </c>
      <c r="AA46" s="30">
        <v>21</v>
      </c>
      <c r="AB46" s="30">
        <f>G46*1</f>
        <v>0</v>
      </c>
      <c r="AC46" s="30">
        <f>G46*(1-1)</f>
        <v>0</v>
      </c>
      <c r="AJ46" s="30">
        <f t="shared" si="16"/>
        <v>0</v>
      </c>
      <c r="AK46" s="30">
        <f t="shared" si="17"/>
        <v>0</v>
      </c>
      <c r="AL46" s="31" t="s">
        <v>207</v>
      </c>
      <c r="AM46" s="31" t="s">
        <v>213</v>
      </c>
      <c r="AN46" s="25" t="s">
        <v>214</v>
      </c>
    </row>
    <row r="47" spans="1:40" ht="12.75">
      <c r="A47" s="6" t="s">
        <v>33</v>
      </c>
      <c r="B47" s="6"/>
      <c r="C47" s="6" t="s">
        <v>83</v>
      </c>
      <c r="D47" s="6" t="s">
        <v>142</v>
      </c>
      <c r="E47" s="6" t="s">
        <v>171</v>
      </c>
      <c r="F47" s="18">
        <v>42</v>
      </c>
      <c r="G47" s="18"/>
      <c r="H47" s="18">
        <f t="shared" si="9"/>
        <v>0</v>
      </c>
      <c r="I47" s="18">
        <f t="shared" si="10"/>
        <v>0</v>
      </c>
      <c r="J47" s="18">
        <f t="shared" si="11"/>
        <v>0</v>
      </c>
      <c r="K47" s="27" t="s">
        <v>52</v>
      </c>
      <c r="L47" s="18">
        <f t="shared" si="12"/>
        <v>0</v>
      </c>
      <c r="W47" s="18">
        <f t="shared" si="13"/>
        <v>0</v>
      </c>
      <c r="X47" s="18">
        <f t="shared" si="14"/>
        <v>0</v>
      </c>
      <c r="Y47" s="18">
        <f t="shared" si="15"/>
        <v>0</v>
      </c>
      <c r="AA47" s="30">
        <v>21</v>
      </c>
      <c r="AB47" s="30">
        <f>G47*1</f>
        <v>0</v>
      </c>
      <c r="AC47" s="30">
        <f>G47*(1-1)</f>
        <v>0</v>
      </c>
      <c r="AJ47" s="30">
        <f t="shared" si="16"/>
        <v>0</v>
      </c>
      <c r="AK47" s="30">
        <f t="shared" si="17"/>
        <v>0</v>
      </c>
      <c r="AL47" s="31" t="s">
        <v>207</v>
      </c>
      <c r="AM47" s="31" t="s">
        <v>213</v>
      </c>
      <c r="AN47" s="25" t="s">
        <v>214</v>
      </c>
    </row>
    <row r="48" spans="1:40" ht="12.75">
      <c r="A48" s="4" t="s">
        <v>34</v>
      </c>
      <c r="B48" s="4"/>
      <c r="C48" s="4" t="s">
        <v>84</v>
      </c>
      <c r="D48" s="4" t="s">
        <v>143</v>
      </c>
      <c r="E48" s="4" t="s">
        <v>168</v>
      </c>
      <c r="F48" s="17">
        <v>201.8</v>
      </c>
      <c r="G48" s="17"/>
      <c r="H48" s="17">
        <f t="shared" si="9"/>
        <v>0</v>
      </c>
      <c r="I48" s="17">
        <f t="shared" si="10"/>
        <v>0</v>
      </c>
      <c r="J48" s="17">
        <f t="shared" si="11"/>
        <v>0</v>
      </c>
      <c r="K48" s="26" t="s">
        <v>6</v>
      </c>
      <c r="L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  <c r="AA48" s="30">
        <v>21</v>
      </c>
      <c r="AB48" s="30">
        <f>G48*0.548201152852316</f>
        <v>0</v>
      </c>
      <c r="AC48" s="30">
        <f>G48*(1-0.548201152852316)</f>
        <v>0</v>
      </c>
      <c r="AJ48" s="30">
        <f t="shared" si="16"/>
        <v>0</v>
      </c>
      <c r="AK48" s="30">
        <f t="shared" si="17"/>
        <v>0</v>
      </c>
      <c r="AL48" s="31" t="s">
        <v>207</v>
      </c>
      <c r="AM48" s="31" t="s">
        <v>213</v>
      </c>
      <c r="AN48" s="25" t="s">
        <v>214</v>
      </c>
    </row>
    <row r="49" spans="1:34" ht="12.75">
      <c r="A49" s="5"/>
      <c r="B49" s="13"/>
      <c r="C49" s="13" t="s">
        <v>85</v>
      </c>
      <c r="D49" s="112" t="s">
        <v>144</v>
      </c>
      <c r="E49" s="113"/>
      <c r="F49" s="113"/>
      <c r="G49" s="113"/>
      <c r="H49" s="33">
        <f>SUM(H50:H57)</f>
        <v>0</v>
      </c>
      <c r="I49" s="33">
        <f>SUM(I50:I57)</f>
        <v>0</v>
      </c>
      <c r="J49" s="33">
        <f>H49+I49</f>
        <v>0</v>
      </c>
      <c r="M49" s="33">
        <f>IF(N49="PR",J49,SUM(L50:L57))</f>
        <v>0</v>
      </c>
      <c r="N49" s="25" t="s">
        <v>191</v>
      </c>
      <c r="O49" s="33">
        <f>IF(N49="HS",H49,0)</f>
        <v>0</v>
      </c>
      <c r="P49" s="33">
        <f>IF(N49="HS",I49-M49,0)</f>
        <v>0</v>
      </c>
      <c r="Q49" s="33">
        <f>IF(N49="PS",H49,0)</f>
        <v>0</v>
      </c>
      <c r="R49" s="33">
        <f>IF(N49="PS",I49-M49,0)</f>
        <v>0</v>
      </c>
      <c r="S49" s="33">
        <f>IF(N49="MP",H49,0)</f>
        <v>0</v>
      </c>
      <c r="T49" s="33">
        <f>IF(N49="MP",I49-M49,0)</f>
        <v>0</v>
      </c>
      <c r="U49" s="33">
        <f>IF(N49="OM",H49,0)</f>
        <v>0</v>
      </c>
      <c r="V49" s="25"/>
      <c r="AF49" s="33">
        <f>SUM(W50:W57)</f>
        <v>0</v>
      </c>
      <c r="AG49" s="33">
        <f>SUM(X50:X57)</f>
        <v>0</v>
      </c>
      <c r="AH49" s="33">
        <f>SUM(Y50:Y57)</f>
        <v>0</v>
      </c>
    </row>
    <row r="50" spans="1:40" ht="12.75">
      <c r="A50" s="4" t="s">
        <v>35</v>
      </c>
      <c r="B50" s="4"/>
      <c r="C50" s="4" t="s">
        <v>86</v>
      </c>
      <c r="D50" s="4" t="s">
        <v>145</v>
      </c>
      <c r="E50" s="4" t="s">
        <v>172</v>
      </c>
      <c r="F50" s="17">
        <v>152.25</v>
      </c>
      <c r="G50" s="17"/>
      <c r="H50" s="17">
        <f aca="true" t="shared" si="18" ref="H50:H57">F50*AB50</f>
        <v>0</v>
      </c>
      <c r="I50" s="17">
        <f aca="true" t="shared" si="19" ref="I50:I57">J50-H50</f>
        <v>0</v>
      </c>
      <c r="J50" s="17">
        <f aca="true" t="shared" si="20" ref="J50:J57">F50*G50</f>
        <v>0</v>
      </c>
      <c r="K50" s="26" t="s">
        <v>10</v>
      </c>
      <c r="L50" s="17">
        <f aca="true" t="shared" si="21" ref="L50:L57">IF(K50="5",I50,0)</f>
        <v>0</v>
      </c>
      <c r="W50" s="17">
        <f aca="true" t="shared" si="22" ref="W50:W57">IF(AA50=0,J50,0)</f>
        <v>0</v>
      </c>
      <c r="X50" s="17">
        <f aca="true" t="shared" si="23" ref="X50:X57">IF(AA50=15,J50,0)</f>
        <v>0</v>
      </c>
      <c r="Y50" s="17">
        <f aca="true" t="shared" si="24" ref="Y50:Y57">IF(AA50=21,J50,0)</f>
        <v>0</v>
      </c>
      <c r="AA50" s="30">
        <v>21</v>
      </c>
      <c r="AB50" s="30">
        <f aca="true" t="shared" si="25" ref="AB50:AB57">G50*0</f>
        <v>0</v>
      </c>
      <c r="AC50" s="30">
        <f aca="true" t="shared" si="26" ref="AC50:AC57">G50*(1-0)</f>
        <v>0</v>
      </c>
      <c r="AJ50" s="30">
        <f aca="true" t="shared" si="27" ref="AJ50:AJ57">F50*AB50</f>
        <v>0</v>
      </c>
      <c r="AK50" s="30">
        <f aca="true" t="shared" si="28" ref="AK50:AK57">F50*AC50</f>
        <v>0</v>
      </c>
      <c r="AL50" s="31" t="s">
        <v>208</v>
      </c>
      <c r="AM50" s="31" t="s">
        <v>213</v>
      </c>
      <c r="AN50" s="25" t="s">
        <v>214</v>
      </c>
    </row>
    <row r="51" spans="1:40" ht="12.75">
      <c r="A51" s="4" t="s">
        <v>36</v>
      </c>
      <c r="B51" s="4"/>
      <c r="C51" s="4" t="s">
        <v>87</v>
      </c>
      <c r="D51" s="4" t="s">
        <v>146</v>
      </c>
      <c r="E51" s="4" t="s">
        <v>172</v>
      </c>
      <c r="F51" s="17">
        <v>304.5</v>
      </c>
      <c r="G51" s="17"/>
      <c r="H51" s="17">
        <f t="shared" si="18"/>
        <v>0</v>
      </c>
      <c r="I51" s="17">
        <f t="shared" si="19"/>
        <v>0</v>
      </c>
      <c r="J51" s="17">
        <f t="shared" si="20"/>
        <v>0</v>
      </c>
      <c r="K51" s="26" t="s">
        <v>10</v>
      </c>
      <c r="L51" s="17">
        <f t="shared" si="21"/>
        <v>0</v>
      </c>
      <c r="W51" s="17">
        <f t="shared" si="22"/>
        <v>0</v>
      </c>
      <c r="X51" s="17">
        <f t="shared" si="23"/>
        <v>0</v>
      </c>
      <c r="Y51" s="17">
        <f t="shared" si="24"/>
        <v>0</v>
      </c>
      <c r="AA51" s="30">
        <v>21</v>
      </c>
      <c r="AB51" s="30">
        <f t="shared" si="25"/>
        <v>0</v>
      </c>
      <c r="AC51" s="30">
        <f t="shared" si="26"/>
        <v>0</v>
      </c>
      <c r="AJ51" s="30">
        <f t="shared" si="27"/>
        <v>0</v>
      </c>
      <c r="AK51" s="30">
        <f t="shared" si="28"/>
        <v>0</v>
      </c>
      <c r="AL51" s="31" t="s">
        <v>208</v>
      </c>
      <c r="AM51" s="31" t="s">
        <v>213</v>
      </c>
      <c r="AN51" s="25" t="s">
        <v>214</v>
      </c>
    </row>
    <row r="52" spans="1:40" ht="12.75">
      <c r="A52" s="4" t="s">
        <v>37</v>
      </c>
      <c r="B52" s="4"/>
      <c r="C52" s="4" t="s">
        <v>88</v>
      </c>
      <c r="D52" s="4" t="s">
        <v>147</v>
      </c>
      <c r="E52" s="4" t="s">
        <v>172</v>
      </c>
      <c r="F52" s="17">
        <v>77.04</v>
      </c>
      <c r="G52" s="17"/>
      <c r="H52" s="17">
        <f t="shared" si="18"/>
        <v>0</v>
      </c>
      <c r="I52" s="17">
        <f t="shared" si="19"/>
        <v>0</v>
      </c>
      <c r="J52" s="17">
        <f t="shared" si="20"/>
        <v>0</v>
      </c>
      <c r="K52" s="26" t="s">
        <v>10</v>
      </c>
      <c r="L52" s="17">
        <f t="shared" si="21"/>
        <v>0</v>
      </c>
      <c r="W52" s="17">
        <f t="shared" si="22"/>
        <v>0</v>
      </c>
      <c r="X52" s="17">
        <f t="shared" si="23"/>
        <v>0</v>
      </c>
      <c r="Y52" s="17">
        <f t="shared" si="24"/>
        <v>0</v>
      </c>
      <c r="AA52" s="30">
        <v>21</v>
      </c>
      <c r="AB52" s="30">
        <f t="shared" si="25"/>
        <v>0</v>
      </c>
      <c r="AC52" s="30">
        <f t="shared" si="26"/>
        <v>0</v>
      </c>
      <c r="AJ52" s="30">
        <f t="shared" si="27"/>
        <v>0</v>
      </c>
      <c r="AK52" s="30">
        <f t="shared" si="28"/>
        <v>0</v>
      </c>
      <c r="AL52" s="31" t="s">
        <v>208</v>
      </c>
      <c r="AM52" s="31" t="s">
        <v>213</v>
      </c>
      <c r="AN52" s="25" t="s">
        <v>214</v>
      </c>
    </row>
    <row r="53" spans="1:40" ht="12.75">
      <c r="A53" s="4" t="s">
        <v>38</v>
      </c>
      <c r="B53" s="4"/>
      <c r="C53" s="4" t="s">
        <v>89</v>
      </c>
      <c r="D53" s="4" t="s">
        <v>148</v>
      </c>
      <c r="E53" s="4" t="s">
        <v>172</v>
      </c>
      <c r="F53" s="17">
        <v>154.08</v>
      </c>
      <c r="G53" s="17"/>
      <c r="H53" s="17">
        <f t="shared" si="18"/>
        <v>0</v>
      </c>
      <c r="I53" s="17">
        <f t="shared" si="19"/>
        <v>0</v>
      </c>
      <c r="J53" s="17">
        <f t="shared" si="20"/>
        <v>0</v>
      </c>
      <c r="K53" s="26" t="s">
        <v>10</v>
      </c>
      <c r="L53" s="17">
        <f t="shared" si="21"/>
        <v>0</v>
      </c>
      <c r="W53" s="17">
        <f t="shared" si="22"/>
        <v>0</v>
      </c>
      <c r="X53" s="17">
        <f t="shared" si="23"/>
        <v>0</v>
      </c>
      <c r="Y53" s="17">
        <f t="shared" si="24"/>
        <v>0</v>
      </c>
      <c r="AA53" s="30">
        <v>21</v>
      </c>
      <c r="AB53" s="30">
        <f t="shared" si="25"/>
        <v>0</v>
      </c>
      <c r="AC53" s="30">
        <f t="shared" si="26"/>
        <v>0</v>
      </c>
      <c r="AJ53" s="30">
        <f t="shared" si="27"/>
        <v>0</v>
      </c>
      <c r="AK53" s="30">
        <f t="shared" si="28"/>
        <v>0</v>
      </c>
      <c r="AL53" s="31" t="s">
        <v>208</v>
      </c>
      <c r="AM53" s="31" t="s">
        <v>213</v>
      </c>
      <c r="AN53" s="25" t="s">
        <v>214</v>
      </c>
    </row>
    <row r="54" spans="1:40" ht="12.75">
      <c r="A54" s="4" t="s">
        <v>39</v>
      </c>
      <c r="B54" s="4"/>
      <c r="C54" s="4" t="s">
        <v>90</v>
      </c>
      <c r="D54" s="4" t="s">
        <v>149</v>
      </c>
      <c r="E54" s="4" t="s">
        <v>172</v>
      </c>
      <c r="F54" s="17">
        <v>30.4</v>
      </c>
      <c r="G54" s="17"/>
      <c r="H54" s="17">
        <f t="shared" si="18"/>
        <v>0</v>
      </c>
      <c r="I54" s="17">
        <f t="shared" si="19"/>
        <v>0</v>
      </c>
      <c r="J54" s="17">
        <f t="shared" si="20"/>
        <v>0</v>
      </c>
      <c r="K54" s="26" t="s">
        <v>10</v>
      </c>
      <c r="L54" s="17">
        <f t="shared" si="21"/>
        <v>0</v>
      </c>
      <c r="W54" s="17">
        <f t="shared" si="22"/>
        <v>0</v>
      </c>
      <c r="X54" s="17">
        <f t="shared" si="23"/>
        <v>0</v>
      </c>
      <c r="Y54" s="17">
        <f t="shared" si="24"/>
        <v>0</v>
      </c>
      <c r="AA54" s="30">
        <v>21</v>
      </c>
      <c r="AB54" s="30">
        <f t="shared" si="25"/>
        <v>0</v>
      </c>
      <c r="AC54" s="30">
        <f t="shared" si="26"/>
        <v>0</v>
      </c>
      <c r="AJ54" s="30">
        <f t="shared" si="27"/>
        <v>0</v>
      </c>
      <c r="AK54" s="30">
        <f t="shared" si="28"/>
        <v>0</v>
      </c>
      <c r="AL54" s="31" t="s">
        <v>208</v>
      </c>
      <c r="AM54" s="31" t="s">
        <v>213</v>
      </c>
      <c r="AN54" s="25" t="s">
        <v>214</v>
      </c>
    </row>
    <row r="55" spans="1:40" ht="12.75">
      <c r="A55" s="4" t="s">
        <v>40</v>
      </c>
      <c r="B55" s="4"/>
      <c r="C55" s="4" t="s">
        <v>91</v>
      </c>
      <c r="D55" s="4" t="s">
        <v>150</v>
      </c>
      <c r="E55" s="4" t="s">
        <v>172</v>
      </c>
      <c r="F55" s="17">
        <v>60.8</v>
      </c>
      <c r="G55" s="17"/>
      <c r="H55" s="17">
        <f t="shared" si="18"/>
        <v>0</v>
      </c>
      <c r="I55" s="17">
        <f t="shared" si="19"/>
        <v>0</v>
      </c>
      <c r="J55" s="17">
        <f t="shared" si="20"/>
        <v>0</v>
      </c>
      <c r="K55" s="26" t="s">
        <v>10</v>
      </c>
      <c r="L55" s="17">
        <f t="shared" si="21"/>
        <v>0</v>
      </c>
      <c r="W55" s="17">
        <f t="shared" si="22"/>
        <v>0</v>
      </c>
      <c r="X55" s="17">
        <f t="shared" si="23"/>
        <v>0</v>
      </c>
      <c r="Y55" s="17">
        <f t="shared" si="24"/>
        <v>0</v>
      </c>
      <c r="AA55" s="30">
        <v>21</v>
      </c>
      <c r="AB55" s="30">
        <f t="shared" si="25"/>
        <v>0</v>
      </c>
      <c r="AC55" s="30">
        <f t="shared" si="26"/>
        <v>0</v>
      </c>
      <c r="AJ55" s="30">
        <f t="shared" si="27"/>
        <v>0</v>
      </c>
      <c r="AK55" s="30">
        <f t="shared" si="28"/>
        <v>0</v>
      </c>
      <c r="AL55" s="31" t="s">
        <v>208</v>
      </c>
      <c r="AM55" s="31" t="s">
        <v>213</v>
      </c>
      <c r="AN55" s="25" t="s">
        <v>214</v>
      </c>
    </row>
    <row r="56" spans="1:40" ht="12.75">
      <c r="A56" s="4" t="s">
        <v>41</v>
      </c>
      <c r="B56" s="4"/>
      <c r="C56" s="4" t="s">
        <v>92</v>
      </c>
      <c r="D56" s="4" t="s">
        <v>151</v>
      </c>
      <c r="E56" s="4" t="s">
        <v>172</v>
      </c>
      <c r="F56" s="17">
        <v>6.26</v>
      </c>
      <c r="G56" s="17"/>
      <c r="H56" s="17">
        <f t="shared" si="18"/>
        <v>0</v>
      </c>
      <c r="I56" s="17">
        <f t="shared" si="19"/>
        <v>0</v>
      </c>
      <c r="J56" s="17">
        <f t="shared" si="20"/>
        <v>0</v>
      </c>
      <c r="K56" s="26" t="s">
        <v>10</v>
      </c>
      <c r="L56" s="17">
        <f t="shared" si="21"/>
        <v>0</v>
      </c>
      <c r="W56" s="17">
        <f t="shared" si="22"/>
        <v>0</v>
      </c>
      <c r="X56" s="17">
        <f t="shared" si="23"/>
        <v>0</v>
      </c>
      <c r="Y56" s="17">
        <f t="shared" si="24"/>
        <v>0</v>
      </c>
      <c r="AA56" s="30">
        <v>21</v>
      </c>
      <c r="AB56" s="30">
        <f t="shared" si="25"/>
        <v>0</v>
      </c>
      <c r="AC56" s="30">
        <f t="shared" si="26"/>
        <v>0</v>
      </c>
      <c r="AJ56" s="30">
        <f t="shared" si="27"/>
        <v>0</v>
      </c>
      <c r="AK56" s="30">
        <f t="shared" si="28"/>
        <v>0</v>
      </c>
      <c r="AL56" s="31" t="s">
        <v>208</v>
      </c>
      <c r="AM56" s="31" t="s">
        <v>213</v>
      </c>
      <c r="AN56" s="25" t="s">
        <v>214</v>
      </c>
    </row>
    <row r="57" spans="1:40" ht="12.75">
      <c r="A57" s="4" t="s">
        <v>42</v>
      </c>
      <c r="B57" s="4"/>
      <c r="C57" s="4" t="s">
        <v>93</v>
      </c>
      <c r="D57" s="4" t="s">
        <v>152</v>
      </c>
      <c r="E57" s="4" t="s">
        <v>172</v>
      </c>
      <c r="F57" s="17">
        <v>12.52</v>
      </c>
      <c r="G57" s="17"/>
      <c r="H57" s="17">
        <f t="shared" si="18"/>
        <v>0</v>
      </c>
      <c r="I57" s="17">
        <f t="shared" si="19"/>
        <v>0</v>
      </c>
      <c r="J57" s="17">
        <f t="shared" si="20"/>
        <v>0</v>
      </c>
      <c r="K57" s="26" t="s">
        <v>10</v>
      </c>
      <c r="L57" s="17">
        <f t="shared" si="21"/>
        <v>0</v>
      </c>
      <c r="W57" s="17">
        <f t="shared" si="22"/>
        <v>0</v>
      </c>
      <c r="X57" s="17">
        <f t="shared" si="23"/>
        <v>0</v>
      </c>
      <c r="Y57" s="17">
        <f t="shared" si="24"/>
        <v>0</v>
      </c>
      <c r="AA57" s="30">
        <v>21</v>
      </c>
      <c r="AB57" s="30">
        <f t="shared" si="25"/>
        <v>0</v>
      </c>
      <c r="AC57" s="30">
        <f t="shared" si="26"/>
        <v>0</v>
      </c>
      <c r="AJ57" s="30">
        <f t="shared" si="27"/>
        <v>0</v>
      </c>
      <c r="AK57" s="30">
        <f t="shared" si="28"/>
        <v>0</v>
      </c>
      <c r="AL57" s="31" t="s">
        <v>208</v>
      </c>
      <c r="AM57" s="31" t="s">
        <v>213</v>
      </c>
      <c r="AN57" s="25" t="s">
        <v>214</v>
      </c>
    </row>
    <row r="58" spans="1:34" ht="12.75">
      <c r="A58" s="5"/>
      <c r="B58" s="13"/>
      <c r="C58" s="13" t="s">
        <v>94</v>
      </c>
      <c r="D58" s="112" t="s">
        <v>153</v>
      </c>
      <c r="E58" s="113"/>
      <c r="F58" s="113"/>
      <c r="G58" s="113"/>
      <c r="H58" s="33">
        <f>SUM(H59:H59)</f>
        <v>0</v>
      </c>
      <c r="I58" s="33">
        <f>SUM(I59:I59)</f>
        <v>0</v>
      </c>
      <c r="J58" s="33">
        <f>H58+I58</f>
        <v>0</v>
      </c>
      <c r="M58" s="33">
        <f>IF(N58="PR",J58,SUM(L59:L59))</f>
        <v>0</v>
      </c>
      <c r="N58" s="25" t="s">
        <v>192</v>
      </c>
      <c r="O58" s="33">
        <f>IF(N58="HS",H58,0)</f>
        <v>0</v>
      </c>
      <c r="P58" s="33">
        <f>IF(N58="HS",I58-M58,0)</f>
        <v>0</v>
      </c>
      <c r="Q58" s="33">
        <f>IF(N58="PS",H58,0)</f>
        <v>0</v>
      </c>
      <c r="R58" s="33">
        <f>IF(N58="PS",I58-M58,0)</f>
        <v>0</v>
      </c>
      <c r="S58" s="33">
        <f>IF(N58="MP",H58,0)</f>
        <v>0</v>
      </c>
      <c r="T58" s="33">
        <f>IF(N58="MP",I58-M58,0)</f>
        <v>0</v>
      </c>
      <c r="U58" s="33">
        <f>IF(N58="OM",H58,0)</f>
        <v>0</v>
      </c>
      <c r="V58" s="25"/>
      <c r="AF58" s="33">
        <f>SUM(W59:W59)</f>
        <v>0</v>
      </c>
      <c r="AG58" s="33">
        <f>SUM(X59:X59)</f>
        <v>0</v>
      </c>
      <c r="AH58" s="33">
        <f>SUM(Y59:Y59)</f>
        <v>0</v>
      </c>
    </row>
    <row r="59" spans="1:40" ht="12.75">
      <c r="A59" s="4" t="s">
        <v>43</v>
      </c>
      <c r="B59" s="4"/>
      <c r="C59" s="4" t="s">
        <v>95</v>
      </c>
      <c r="D59" s="4" t="s">
        <v>154</v>
      </c>
      <c r="E59" s="4" t="s">
        <v>173</v>
      </c>
      <c r="F59" s="17">
        <v>0.5</v>
      </c>
      <c r="G59" s="17"/>
      <c r="H59" s="17">
        <f>F59*AB59</f>
        <v>0</v>
      </c>
      <c r="I59" s="17">
        <f>J59-H59</f>
        <v>0</v>
      </c>
      <c r="J59" s="17">
        <f>F59*G59</f>
        <v>0</v>
      </c>
      <c r="K59" s="26" t="s">
        <v>7</v>
      </c>
      <c r="L59" s="17">
        <f>IF(K59="5",I59,0)</f>
        <v>0</v>
      </c>
      <c r="W59" s="17">
        <f>IF(AA59=0,J59,0)</f>
        <v>0</v>
      </c>
      <c r="X59" s="17">
        <f>IF(AA59=15,J59,0)</f>
        <v>0</v>
      </c>
      <c r="Y59" s="17">
        <f>IF(AA59=21,J59,0)</f>
        <v>0</v>
      </c>
      <c r="AA59" s="30">
        <v>21</v>
      </c>
      <c r="AB59" s="30">
        <f>G59*0.278942959113999</f>
        <v>0</v>
      </c>
      <c r="AC59" s="30">
        <f>G59*(1-0.278942959113999)</f>
        <v>0</v>
      </c>
      <c r="AJ59" s="30">
        <f>F59*AB59</f>
        <v>0</v>
      </c>
      <c r="AK59" s="30">
        <f>F59*AC59</f>
        <v>0</v>
      </c>
      <c r="AL59" s="31" t="s">
        <v>209</v>
      </c>
      <c r="AM59" s="31" t="s">
        <v>213</v>
      </c>
      <c r="AN59" s="25" t="s">
        <v>214</v>
      </c>
    </row>
    <row r="60" spans="1:34" ht="12.75">
      <c r="A60" s="5"/>
      <c r="B60" s="13"/>
      <c r="C60" s="13" t="s">
        <v>96</v>
      </c>
      <c r="D60" s="112" t="s">
        <v>155</v>
      </c>
      <c r="E60" s="113"/>
      <c r="F60" s="113"/>
      <c r="G60" s="113"/>
      <c r="H60" s="33">
        <f>SUM(H61:H65)</f>
        <v>0</v>
      </c>
      <c r="I60" s="33">
        <f>SUM(I61:I65)</f>
        <v>0</v>
      </c>
      <c r="J60" s="33">
        <f>H60+I60</f>
        <v>0</v>
      </c>
      <c r="M60" s="33">
        <f>IF(N60="PR",J60,SUM(L61:L65))</f>
        <v>0</v>
      </c>
      <c r="N60" s="25" t="s">
        <v>191</v>
      </c>
      <c r="O60" s="33">
        <f>IF(N60="HS",H60,0)</f>
        <v>0</v>
      </c>
      <c r="P60" s="33">
        <f>IF(N60="HS",I60-M60,0)</f>
        <v>0</v>
      </c>
      <c r="Q60" s="33">
        <f>IF(N60="PS",H60,0)</f>
        <v>0</v>
      </c>
      <c r="R60" s="33">
        <f>IF(N60="PS",I60-M60,0)</f>
        <v>0</v>
      </c>
      <c r="S60" s="33">
        <f>IF(N60="MP",H60,0)</f>
        <v>0</v>
      </c>
      <c r="T60" s="33">
        <f>IF(N60="MP",I60-M60,0)</f>
        <v>0</v>
      </c>
      <c r="U60" s="33">
        <f>IF(N60="OM",H60,0)</f>
        <v>0</v>
      </c>
      <c r="V60" s="25"/>
      <c r="AF60" s="33">
        <f>SUM(W61:W65)</f>
        <v>0</v>
      </c>
      <c r="AG60" s="33">
        <f>SUM(X61:X65)</f>
        <v>0</v>
      </c>
      <c r="AH60" s="33">
        <f>SUM(Y61:Y65)</f>
        <v>0</v>
      </c>
    </row>
    <row r="61" spans="1:40" ht="12.75">
      <c r="A61" s="4" t="s">
        <v>44</v>
      </c>
      <c r="B61" s="4"/>
      <c r="C61" s="4" t="s">
        <v>97</v>
      </c>
      <c r="D61" s="4" t="s">
        <v>156</v>
      </c>
      <c r="E61" s="4" t="s">
        <v>172</v>
      </c>
      <c r="F61" s="17">
        <v>502.44</v>
      </c>
      <c r="G61" s="17"/>
      <c r="H61" s="17">
        <f>F61*AB61</f>
        <v>0</v>
      </c>
      <c r="I61" s="17">
        <f>J61-H61</f>
        <v>0</v>
      </c>
      <c r="J61" s="17">
        <f>F61*G61</f>
        <v>0</v>
      </c>
      <c r="K61" s="26" t="s">
        <v>10</v>
      </c>
      <c r="L61" s="17">
        <f>IF(K61="5",I61,0)</f>
        <v>0</v>
      </c>
      <c r="W61" s="17">
        <f>IF(AA61=0,J61,0)</f>
        <v>0</v>
      </c>
      <c r="X61" s="17">
        <f>IF(AA61=15,J61,0)</f>
        <v>0</v>
      </c>
      <c r="Y61" s="17">
        <f>IF(AA61=21,J61,0)</f>
        <v>0</v>
      </c>
      <c r="AA61" s="30">
        <v>21</v>
      </c>
      <c r="AB61" s="30">
        <f>G61*0</f>
        <v>0</v>
      </c>
      <c r="AC61" s="30">
        <f>G61*(1-0)</f>
        <v>0</v>
      </c>
      <c r="AJ61" s="30">
        <f>F61*AB61</f>
        <v>0</v>
      </c>
      <c r="AK61" s="30">
        <f>F61*AC61</f>
        <v>0</v>
      </c>
      <c r="AL61" s="31" t="s">
        <v>210</v>
      </c>
      <c r="AM61" s="31" t="s">
        <v>213</v>
      </c>
      <c r="AN61" s="25" t="s">
        <v>214</v>
      </c>
    </row>
    <row r="62" spans="1:40" ht="12.75">
      <c r="A62" s="4" t="s">
        <v>45</v>
      </c>
      <c r="B62" s="4"/>
      <c r="C62" s="4" t="s">
        <v>98</v>
      </c>
      <c r="D62" s="4" t="s">
        <v>157</v>
      </c>
      <c r="E62" s="4" t="s">
        <v>172</v>
      </c>
      <c r="F62" s="17">
        <v>502.44</v>
      </c>
      <c r="G62" s="17"/>
      <c r="H62" s="17">
        <f>F62*AB62</f>
        <v>0</v>
      </c>
      <c r="I62" s="17">
        <f>J62-H62</f>
        <v>0</v>
      </c>
      <c r="J62" s="17">
        <f>F62*G62</f>
        <v>0</v>
      </c>
      <c r="K62" s="26" t="s">
        <v>10</v>
      </c>
      <c r="L62" s="17">
        <f>IF(K62="5",I62,0)</f>
        <v>0</v>
      </c>
      <c r="W62" s="17">
        <f>IF(AA62=0,J62,0)</f>
        <v>0</v>
      </c>
      <c r="X62" s="17">
        <f>IF(AA62=15,J62,0)</f>
        <v>0</v>
      </c>
      <c r="Y62" s="17">
        <f>IF(AA62=21,J62,0)</f>
        <v>0</v>
      </c>
      <c r="AA62" s="30">
        <v>21</v>
      </c>
      <c r="AB62" s="30">
        <f>G62*0</f>
        <v>0</v>
      </c>
      <c r="AC62" s="30">
        <f>G62*(1-0)</f>
        <v>0</v>
      </c>
      <c r="AJ62" s="30">
        <f>F62*AB62</f>
        <v>0</v>
      </c>
      <c r="AK62" s="30">
        <f>F62*AC62</f>
        <v>0</v>
      </c>
      <c r="AL62" s="31" t="s">
        <v>210</v>
      </c>
      <c r="AM62" s="31" t="s">
        <v>213</v>
      </c>
      <c r="AN62" s="25" t="s">
        <v>214</v>
      </c>
    </row>
    <row r="63" spans="1:40" ht="12.75">
      <c r="A63" s="4" t="s">
        <v>46</v>
      </c>
      <c r="B63" s="4"/>
      <c r="C63" s="4" t="s">
        <v>99</v>
      </c>
      <c r="D63" s="4" t="s">
        <v>158</v>
      </c>
      <c r="E63" s="4" t="s">
        <v>172</v>
      </c>
      <c r="F63" s="17">
        <v>232.76</v>
      </c>
      <c r="G63" s="17"/>
      <c r="H63" s="17">
        <f>F63*AB63</f>
        <v>0</v>
      </c>
      <c r="I63" s="17">
        <f>J63-H63</f>
        <v>0</v>
      </c>
      <c r="J63" s="17">
        <f>F63*G63</f>
        <v>0</v>
      </c>
      <c r="K63" s="26" t="s">
        <v>10</v>
      </c>
      <c r="L63" s="17">
        <f>IF(K63="5",I63,0)</f>
        <v>0</v>
      </c>
      <c r="W63" s="17">
        <f>IF(AA63=0,J63,0)</f>
        <v>0</v>
      </c>
      <c r="X63" s="17">
        <f>IF(AA63=15,J63,0)</f>
        <v>0</v>
      </c>
      <c r="Y63" s="17">
        <f>IF(AA63=21,J63,0)</f>
        <v>0</v>
      </c>
      <c r="AA63" s="30">
        <v>21</v>
      </c>
      <c r="AB63" s="30">
        <f>G63*0</f>
        <v>0</v>
      </c>
      <c r="AC63" s="30">
        <f>G63*(1-0)</f>
        <v>0</v>
      </c>
      <c r="AJ63" s="30">
        <f>F63*AB63</f>
        <v>0</v>
      </c>
      <c r="AK63" s="30">
        <f>F63*AC63</f>
        <v>0</v>
      </c>
      <c r="AL63" s="31" t="s">
        <v>210</v>
      </c>
      <c r="AM63" s="31" t="s">
        <v>213</v>
      </c>
      <c r="AN63" s="25" t="s">
        <v>214</v>
      </c>
    </row>
    <row r="64" spans="1:40" ht="12.75">
      <c r="A64" s="4" t="s">
        <v>47</v>
      </c>
      <c r="B64" s="4"/>
      <c r="C64" s="4" t="s">
        <v>100</v>
      </c>
      <c r="D64" s="4" t="s">
        <v>159</v>
      </c>
      <c r="E64" s="4" t="s">
        <v>172</v>
      </c>
      <c r="F64" s="17">
        <v>219.07</v>
      </c>
      <c r="G64" s="17"/>
      <c r="H64" s="17">
        <f>F64*AB64</f>
        <v>0</v>
      </c>
      <c r="I64" s="17">
        <f>J64-H64</f>
        <v>0</v>
      </c>
      <c r="J64" s="17">
        <f>F64*G64</f>
        <v>0</v>
      </c>
      <c r="K64" s="26" t="s">
        <v>10</v>
      </c>
      <c r="L64" s="17">
        <f>IF(K64="5",I64,0)</f>
        <v>0</v>
      </c>
      <c r="W64" s="17">
        <f>IF(AA64=0,J64,0)</f>
        <v>0</v>
      </c>
      <c r="X64" s="17">
        <f>IF(AA64=15,J64,0)</f>
        <v>0</v>
      </c>
      <c r="Y64" s="17">
        <f>IF(AA64=21,J64,0)</f>
        <v>0</v>
      </c>
      <c r="AA64" s="30">
        <v>21</v>
      </c>
      <c r="AB64" s="30">
        <f>G64*0</f>
        <v>0</v>
      </c>
      <c r="AC64" s="30">
        <f>G64*(1-0)</f>
        <v>0</v>
      </c>
      <c r="AJ64" s="30">
        <f>F64*AB64</f>
        <v>0</v>
      </c>
      <c r="AK64" s="30">
        <f>F64*AC64</f>
        <v>0</v>
      </c>
      <c r="AL64" s="31" t="s">
        <v>210</v>
      </c>
      <c r="AM64" s="31" t="s">
        <v>213</v>
      </c>
      <c r="AN64" s="25" t="s">
        <v>214</v>
      </c>
    </row>
    <row r="65" spans="1:40" ht="12.75">
      <c r="A65" s="7" t="s">
        <v>48</v>
      </c>
      <c r="B65" s="7"/>
      <c r="C65" s="7" t="s">
        <v>101</v>
      </c>
      <c r="D65" s="7" t="s">
        <v>160</v>
      </c>
      <c r="E65" s="7" t="s">
        <v>172</v>
      </c>
      <c r="F65" s="19">
        <v>50.61</v>
      </c>
      <c r="G65" s="19"/>
      <c r="H65" s="19">
        <f>F65*AB65</f>
        <v>0</v>
      </c>
      <c r="I65" s="19">
        <f>J65-H65</f>
        <v>0</v>
      </c>
      <c r="J65" s="19">
        <f>F65*G65</f>
        <v>0</v>
      </c>
      <c r="K65" s="26" t="s">
        <v>10</v>
      </c>
      <c r="L65" s="17">
        <f>IF(K65="5",I65,0)</f>
        <v>0</v>
      </c>
      <c r="W65" s="17">
        <f>IF(AA65=0,J65,0)</f>
        <v>0</v>
      </c>
      <c r="X65" s="17">
        <f>IF(AA65=15,J65,0)</f>
        <v>0</v>
      </c>
      <c r="Y65" s="17">
        <f>IF(AA65=21,J65,0)</f>
        <v>0</v>
      </c>
      <c r="AA65" s="30">
        <v>21</v>
      </c>
      <c r="AB65" s="30">
        <f>G65*0</f>
        <v>0</v>
      </c>
      <c r="AC65" s="30">
        <f>G65*(1-0)</f>
        <v>0</v>
      </c>
      <c r="AJ65" s="30">
        <f>F65*AB65</f>
        <v>0</v>
      </c>
      <c r="AK65" s="30">
        <f>F65*AC65</f>
        <v>0</v>
      </c>
      <c r="AL65" s="31" t="s">
        <v>210</v>
      </c>
      <c r="AM65" s="31" t="s">
        <v>213</v>
      </c>
      <c r="AN65" s="25" t="s">
        <v>214</v>
      </c>
    </row>
    <row r="66" spans="1:25" ht="12.75">
      <c r="A66" s="8"/>
      <c r="B66" s="8"/>
      <c r="C66" s="8"/>
      <c r="D66" s="8"/>
      <c r="E66" s="8"/>
      <c r="F66" s="8"/>
      <c r="G66" s="8"/>
      <c r="H66" s="114" t="s">
        <v>179</v>
      </c>
      <c r="I66" s="67"/>
      <c r="J66" s="34">
        <f>J12+J15+J20+J22+J26+J30+J34+J41+J49+J58+J60</f>
        <v>0</v>
      </c>
      <c r="W66" s="35">
        <f>SUM(W13:W65)</f>
        <v>0</v>
      </c>
      <c r="X66" s="35">
        <f>SUM(X13:X65)</f>
        <v>0</v>
      </c>
      <c r="Y66" s="35">
        <f>SUM(Y13:Y65)</f>
        <v>0</v>
      </c>
    </row>
    <row r="67" ht="11.25" customHeight="1">
      <c r="A67" s="9" t="s">
        <v>49</v>
      </c>
    </row>
    <row r="68" spans="1:10" ht="409.5" customHeight="1" hidden="1">
      <c r="A68" s="73"/>
      <c r="B68" s="65"/>
      <c r="C68" s="65"/>
      <c r="D68" s="65"/>
      <c r="E68" s="65"/>
      <c r="F68" s="65"/>
      <c r="G68" s="65"/>
      <c r="H68" s="65"/>
      <c r="I68" s="65"/>
      <c r="J68" s="65"/>
    </row>
  </sheetData>
  <sheetProtection/>
  <mergeCells count="39">
    <mergeCell ref="D60:G60"/>
    <mergeCell ref="H66:I66"/>
    <mergeCell ref="A68:J68"/>
    <mergeCell ref="D26:G26"/>
    <mergeCell ref="D30:G30"/>
    <mergeCell ref="D34:G34"/>
    <mergeCell ref="D41:G41"/>
    <mergeCell ref="D49:G49"/>
    <mergeCell ref="D58:G58"/>
    <mergeCell ref="H10:J10"/>
    <mergeCell ref="D12:G12"/>
    <mergeCell ref="D15:G15"/>
    <mergeCell ref="D20:G20"/>
    <mergeCell ref="D22:G22"/>
    <mergeCell ref="A8:C9"/>
    <mergeCell ref="D8:D9"/>
    <mergeCell ref="E8:F9"/>
    <mergeCell ref="G8:H9"/>
    <mergeCell ref="I8:I9"/>
    <mergeCell ref="J8:J9"/>
    <mergeCell ref="A6:C7"/>
    <mergeCell ref="D6:D7"/>
    <mergeCell ref="E6:F7"/>
    <mergeCell ref="G6:H7"/>
    <mergeCell ref="I6:I7"/>
    <mergeCell ref="J6:J7"/>
    <mergeCell ref="A4:C5"/>
    <mergeCell ref="D4:D5"/>
    <mergeCell ref="E4:F5"/>
    <mergeCell ref="G4:H5"/>
    <mergeCell ref="I4:I5"/>
    <mergeCell ref="J4:J5"/>
    <mergeCell ref="A1:J1"/>
    <mergeCell ref="A2:C3"/>
    <mergeCell ref="D2:D3"/>
    <mergeCell ref="E2:F3"/>
    <mergeCell ref="G2:H3"/>
    <mergeCell ref="I2:I3"/>
    <mergeCell ref="J2:J3"/>
  </mergeCells>
  <printOptions/>
  <pageMargins left="0.394" right="0.394" top="0.591" bottom="0.591" header="0.5" footer="0.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ucetni</cp:lastModifiedBy>
  <cp:lastPrinted>2018-02-05T16:39:12Z</cp:lastPrinted>
  <dcterms:created xsi:type="dcterms:W3CDTF">2017-03-01T14:23:53Z</dcterms:created>
  <dcterms:modified xsi:type="dcterms:W3CDTF">2018-02-22T09:27:30Z</dcterms:modified>
  <cp:category/>
  <cp:version/>
  <cp:contentType/>
  <cp:contentStatus/>
</cp:coreProperties>
</file>